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3660" windowWidth="16995" windowHeight="3705" tabRatio="676" firstSheet="1" activeTab="3"/></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G17" i="1" l="1"/>
  <c r="G53" i="1" l="1"/>
  <c r="J63" i="1" l="1"/>
  <c r="I63" i="1"/>
  <c r="G63" i="1"/>
  <c r="J62" i="1"/>
  <c r="I62" i="1"/>
  <c r="G62" i="1"/>
  <c r="G61" i="1"/>
  <c r="J61" i="1"/>
  <c r="I61" i="1"/>
  <c r="J50" i="1"/>
  <c r="H50" i="1"/>
  <c r="J46" i="1"/>
  <c r="H46" i="1"/>
  <c r="H23" i="1"/>
  <c r="J23" i="1" s="1"/>
  <c r="H20" i="1"/>
  <c r="G20" i="1"/>
  <c r="H18" i="1"/>
  <c r="G18" i="1"/>
  <c r="J20" i="1"/>
  <c r="J18" i="1"/>
  <c r="J17" i="1"/>
  <c r="H17" i="1"/>
  <c r="H16" i="1"/>
  <c r="J16" i="1" s="1"/>
  <c r="G16" i="1"/>
  <c r="H15" i="1"/>
  <c r="J14" i="1"/>
  <c r="J15" i="1"/>
  <c r="G14" i="1"/>
  <c r="H14" i="1"/>
  <c r="I14" i="1" s="1"/>
  <c r="G15" i="1"/>
  <c r="M95" i="1" l="1"/>
  <c r="L95" i="1"/>
  <c r="K95" i="1"/>
  <c r="E215" i="2"/>
  <c r="E214" i="2"/>
  <c r="E213" i="2"/>
  <c r="H213" i="2"/>
  <c r="I213" i="2"/>
  <c r="K213" i="2"/>
  <c r="L213" i="2"/>
  <c r="G214" i="2"/>
  <c r="H214" i="2"/>
  <c r="I214" i="2"/>
  <c r="K214" i="2"/>
  <c r="L214" i="2"/>
  <c r="H215" i="2"/>
  <c r="I215" i="2"/>
  <c r="K215" i="2"/>
  <c r="L215"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T9" i="7" l="1"/>
  <c r="G101" i="1"/>
  <c r="H101" i="1"/>
  <c r="I101" i="1"/>
  <c r="J101" i="1"/>
  <c r="L86" i="1"/>
  <c r="M86" i="1"/>
  <c r="L81" i="1"/>
  <c r="M81" i="1"/>
  <c r="L74" i="1"/>
  <c r="M74" i="1"/>
  <c r="L57" i="1"/>
  <c r="M57" i="1"/>
  <c r="L50" i="1"/>
  <c r="M50" i="1"/>
  <c r="L39" i="1"/>
  <c r="M39" i="1"/>
  <c r="L33" i="1"/>
  <c r="M33" i="1"/>
  <c r="L28" i="1"/>
  <c r="M28" i="1"/>
  <c r="L14" i="1"/>
  <c r="M14" i="1"/>
  <c r="K86" i="1"/>
  <c r="K81" i="1"/>
  <c r="K74" i="1"/>
  <c r="K57" i="1"/>
  <c r="K50" i="1"/>
  <c r="K39" i="1"/>
  <c r="K33" i="1"/>
  <c r="K28"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I86" i="8" s="1"/>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S17" i="8"/>
  <c r="R17" i="8"/>
  <c r="Q17" i="8"/>
  <c r="P17" i="8"/>
  <c r="O17" i="8"/>
  <c r="N17" i="8"/>
  <c r="L17" i="8"/>
  <c r="K17" i="8"/>
  <c r="J17" i="8"/>
  <c r="I17" i="8"/>
  <c r="H17" i="8"/>
  <c r="G17" i="8"/>
  <c r="E17" i="8"/>
  <c r="D17" i="8"/>
  <c r="C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A37" i="2" l="1"/>
  <c r="K7" i="3" s="1"/>
  <c r="A213" i="2"/>
  <c r="A24" i="6" s="1"/>
  <c r="A59" i="2"/>
  <c r="A214" i="2"/>
  <c r="A25" i="6" s="1"/>
  <c r="L101" i="1"/>
  <c r="K101" i="1"/>
  <c r="M101" i="1"/>
  <c r="A89" i="2"/>
  <c r="B52" i="1" s="1"/>
  <c r="A87" i="2"/>
  <c r="B50" i="1" s="1"/>
  <c r="A90" i="2"/>
  <c r="B53" i="1" s="1"/>
  <c r="A88" i="2"/>
  <c r="B51"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M17" i="8"/>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O52" i="8" s="1"/>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49" i="1" s="1"/>
  <c r="A82" i="2"/>
  <c r="B43" i="1" s="1"/>
  <c r="A78" i="2"/>
  <c r="B39"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44" i="1" s="1"/>
  <c r="A79" i="2"/>
  <c r="B40" i="1" s="1"/>
  <c r="A75" i="2"/>
  <c r="B34"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45" i="1" s="1"/>
  <c r="A80" i="2"/>
  <c r="B41" i="1" s="1"/>
  <c r="A76" i="2"/>
  <c r="B35"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46" i="1" s="1"/>
  <c r="A81" i="2"/>
  <c r="B42" i="1" s="1"/>
  <c r="A77" i="2"/>
  <c r="B38" i="1" s="1"/>
  <c r="A74" i="2"/>
  <c r="A70" i="2"/>
  <c r="A66" i="2"/>
  <c r="A62" i="2"/>
  <c r="A57" i="2"/>
  <c r="A50" i="2"/>
  <c r="B7" i="8" s="1"/>
  <c r="A46" i="2"/>
  <c r="A42" i="2"/>
  <c r="A36" i="2"/>
  <c r="A32" i="2"/>
  <c r="A28" i="2"/>
  <c r="A24" i="2"/>
  <c r="A20" i="2"/>
  <c r="A16" i="2"/>
  <c r="A12" i="2"/>
  <c r="A8" i="2"/>
  <c r="G2" i="3"/>
  <c r="E2" i="1"/>
  <c r="J2" i="4"/>
  <c r="B47" i="1" l="1"/>
  <c r="B92" i="1"/>
  <c r="B83" i="1"/>
  <c r="B78" i="1"/>
  <c r="B30" i="1"/>
  <c r="B71" i="1"/>
  <c r="B54" i="1"/>
  <c r="B36" i="1"/>
  <c r="B25" i="1"/>
  <c r="C79" i="8"/>
  <c r="G52" i="8"/>
  <c r="E79" i="8"/>
  <c r="I52" i="8"/>
  <c r="H79" i="8"/>
  <c r="L52" i="8"/>
  <c r="O79" i="8"/>
  <c r="D79" i="8"/>
  <c r="H52" i="8"/>
  <c r="G79" i="8"/>
  <c r="K52" i="8"/>
  <c r="F79" i="8"/>
  <c r="J52" i="8"/>
  <c r="S6" i="8"/>
  <c r="P5" i="3"/>
  <c r="K79" i="8"/>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W134" i="8"/>
  <c r="W143" i="8" s="1"/>
  <c r="AC60" i="8"/>
  <c r="AD60" i="8" s="1"/>
  <c r="S86" i="8"/>
  <c r="R87" i="8"/>
  <c r="S70" i="8"/>
  <c r="F48" i="8"/>
  <c r="F52" i="8" s="1"/>
  <c r="R86" i="8"/>
  <c r="R72" i="8"/>
  <c r="T48" i="8"/>
  <c r="T52" i="8" s="1"/>
  <c r="M48" i="8"/>
  <c r="M52" i="8" s="1"/>
  <c r="S82" i="4"/>
  <c r="B7" i="4"/>
  <c r="B12" i="4"/>
  <c r="AA61" i="4"/>
  <c r="AA60" i="4"/>
  <c r="X79" i="4"/>
  <c r="W79" i="4"/>
  <c r="C17" i="4"/>
  <c r="D17" i="4"/>
  <c r="E17" i="4"/>
  <c r="G17" i="4"/>
  <c r="H17" i="4"/>
  <c r="I17" i="4"/>
  <c r="J17" i="4"/>
  <c r="K17" i="4"/>
  <c r="L17" i="4"/>
  <c r="N17" i="4"/>
  <c r="O17" i="4"/>
  <c r="P17" i="4"/>
  <c r="Q17" i="4"/>
  <c r="R17" i="4"/>
  <c r="S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T34" i="4"/>
  <c r="M43" i="4"/>
  <c r="T30" i="4"/>
  <c r="F27" i="4"/>
  <c r="T17" i="4"/>
  <c r="M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Y79" i="8" l="1"/>
  <c r="U17" i="4"/>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21" i="1" l="1"/>
  <c r="B33" i="1"/>
  <c r="B82" i="4"/>
  <c r="B20" i="1"/>
  <c r="B32" i="1"/>
  <c r="B50" i="4"/>
  <c r="W58" i="4"/>
  <c r="B75" i="4"/>
  <c r="AB140" i="4"/>
  <c r="B18" i="1"/>
  <c r="B22" i="1"/>
  <c r="B28" i="1"/>
  <c r="O6" i="7"/>
  <c r="C56" i="4"/>
  <c r="W56" i="4"/>
  <c r="Y57" i="4"/>
  <c r="AD56" i="4"/>
  <c r="W130" i="4"/>
  <c r="G8" i="6"/>
  <c r="T4" i="7" s="1"/>
  <c r="B17" i="1"/>
  <c r="B27" i="1"/>
  <c r="B51" i="4"/>
  <c r="X58" i="4"/>
  <c r="U57" i="4"/>
  <c r="B91" i="4"/>
  <c r="F8" i="6"/>
  <c r="B14" i="1"/>
  <c r="B24" i="1"/>
  <c r="B55" i="4"/>
  <c r="T66" i="4"/>
  <c r="Z58" i="4"/>
  <c r="T57" i="4"/>
  <c r="B129" i="4"/>
  <c r="B13" i="4"/>
  <c r="B13" i="1"/>
  <c r="B19" i="1"/>
  <c r="B23" i="1"/>
  <c r="B2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S87" i="4" s="1"/>
  <c r="R62" i="4"/>
  <c r="S60" i="4"/>
  <c r="W134" i="4" s="1"/>
  <c r="W143" i="4" s="1"/>
  <c r="I87" i="4"/>
  <c r="R72" i="4"/>
  <c r="R86" i="4"/>
  <c r="I72" i="4"/>
  <c r="S69" i="4"/>
  <c r="I86" i="4"/>
  <c r="S59" i="4"/>
  <c r="I88" i="4"/>
  <c r="S71" i="4"/>
  <c r="I62" i="4"/>
  <c r="J6" i="7"/>
  <c r="K6" i="7"/>
  <c r="E6" i="7"/>
  <c r="G6" i="7"/>
  <c r="M6" i="7"/>
  <c r="J5" i="7"/>
  <c r="Q6" i="7"/>
  <c r="C6" i="7"/>
  <c r="S5" i="7"/>
  <c r="H6" i="7"/>
  <c r="D6" i="7"/>
  <c r="C5" i="7"/>
  <c r="F6" i="7"/>
  <c r="C10" i="4" l="1"/>
  <c r="A7" i="7"/>
  <c r="P7" i="7" s="1"/>
  <c r="S62" i="4"/>
  <c r="AB61" i="4"/>
  <c r="AC61" i="4" s="1"/>
  <c r="AD61" i="4" s="1"/>
  <c r="S86" i="4"/>
  <c r="S72" i="4"/>
  <c r="V79" i="4"/>
  <c r="AB60" i="4"/>
  <c r="AC60" i="4" s="1"/>
  <c r="AD60" i="4" s="1"/>
  <c r="S88" i="4"/>
  <c r="P134" i="8" l="1"/>
  <c r="P135" i="8"/>
  <c r="P133" i="8"/>
  <c r="P143" i="8"/>
  <c r="P134" i="4"/>
  <c r="C7" i="7"/>
  <c r="S7" i="7"/>
  <c r="S143" i="8" s="1"/>
  <c r="L7" i="7"/>
  <c r="T7" i="7"/>
  <c r="T143" i="8" s="1"/>
  <c r="N7" i="7"/>
  <c r="O7" i="7"/>
  <c r="H7" i="7"/>
  <c r="L114" i="4" s="1"/>
  <c r="Q7" i="7"/>
  <c r="Q135" i="4" s="1"/>
  <c r="J7" i="7"/>
  <c r="K7" i="7"/>
  <c r="E7" i="7"/>
  <c r="I113" i="4" s="1"/>
  <c r="D7" i="7"/>
  <c r="H96" i="4" s="1"/>
  <c r="F7" i="7"/>
  <c r="G7" i="7"/>
  <c r="M7" i="7"/>
  <c r="Q117" i="4" s="1"/>
  <c r="P143" i="4"/>
  <c r="P104"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AD59" i="4" s="1"/>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T69" i="4"/>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21" i="4"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70" i="1"/>
  <c r="B73" i="1"/>
  <c r="B74" i="1"/>
  <c r="B75" i="1"/>
  <c r="B76" i="1"/>
  <c r="B77" i="1"/>
  <c r="B80" i="1"/>
  <c r="B82" i="1"/>
  <c r="B85" i="1"/>
  <c r="B86" i="1"/>
  <c r="B87" i="1"/>
  <c r="B88" i="1"/>
  <c r="B89" i="1"/>
  <c r="B90" i="1"/>
  <c r="B91" i="1"/>
  <c r="B23" i="3"/>
  <c r="C104" i="1"/>
  <c r="B103" i="1"/>
  <c r="B101" i="1"/>
  <c r="B99" i="1"/>
  <c r="B98" i="1"/>
  <c r="B97" i="1"/>
  <c r="B96" i="1"/>
  <c r="B56" i="1"/>
  <c r="B57" i="1"/>
  <c r="B58" i="1"/>
  <c r="B59" i="1"/>
  <c r="B60" i="1"/>
  <c r="B61" i="1"/>
  <c r="B63" i="1"/>
  <c r="B64" i="1"/>
  <c r="B65" i="1"/>
  <c r="B66" i="1"/>
  <c r="B67" i="1"/>
  <c r="B68" i="1"/>
  <c r="B69" i="1"/>
  <c r="B81" i="1"/>
  <c r="B94" i="1"/>
  <c r="B95" i="1"/>
  <c r="R143" i="4" l="1"/>
  <c r="I143" i="4"/>
  <c r="R79" i="4"/>
  <c r="I79" i="4"/>
  <c r="B106"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<sst xmlns="http://schemas.openxmlformats.org/spreadsheetml/2006/main" count="1777" uniqueCount="1539">
  <si>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</si>
  <si>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</si>
  <si>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</si>
  <si>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</si>
  <si>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</si>
  <si>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</si>
  <si>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</si>
  <si>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</si>
  <si>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</si>
  <si>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</si>
  <si>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</si>
  <si>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</si>
  <si>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</si>
  <si>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</si>
  <si>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</si>
  <si>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</si>
  <si>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</si>
  <si>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</si>
  <si>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</si>
  <si>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</si>
  <si>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</si>
  <si>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</si>
  <si>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</si>
  <si>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</si>
  <si>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</si>
  <si>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</si>
  <si>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</si>
  <si>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</si>
  <si>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</si>
  <si>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</si>
  <si>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</si>
  <si>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</si>
  <si>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</si>
  <si>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</si>
  <si>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</si>
  <si>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</si>
  <si>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</si>
  <si>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</si>
  <si>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</si>
  <si>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</si>
  <si>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</si>
  <si>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</si>
  <si>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</si>
  <si>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</si>
  <si>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</si>
  <si>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</si>
  <si>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</si>
  <si>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</si>
  <si>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</si>
  <si>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</si>
  <si>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</si>
  <si>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</si>
  <si>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</si>
  <si>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</si>
  <si>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</si>
  <si>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</si>
  <si>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</si>
  <si>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</si>
  <si>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</si>
  <si>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</si>
  <si>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</si>
  <si>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</si>
  <si>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</si>
  <si>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</si>
  <si>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</si>
  <si>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</si>
  <si>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</si>
  <si>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</si>
  <si>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</si>
  <si>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</si>
  <si>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</si>
  <si>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</si>
  <si>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</si>
  <si>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</si>
  <si>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</si>
  <si>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</si>
  <si>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</si>
  <si>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</si>
  <si>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</si>
  <si>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</si>
  <si>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</si>
  <si>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</si>
  <si>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</si>
  <si>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</si>
  <si>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</si>
  <si>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</si>
  <si>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</si>
  <si>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</si>
  <si>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</si>
  <si>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</si>
  <si>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</si>
  <si>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</si>
  <si>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</si>
  <si>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</si>
  <si>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</si>
  <si>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</si>
  <si>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</si>
  <si>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</si>
  <si>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</si>
  <si>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</si>
  <si>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</si>
  <si>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</si>
  <si>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</si>
  <si>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</si>
  <si>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</si>
  <si>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</si>
  <si>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</si>
  <si>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</si>
  <si>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</si>
  <si>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</si>
  <si>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</si>
  <si>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</si>
  <si>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</si>
  <si>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</si>
  <si>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</si>
  <si>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</si>
  <si>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</si>
  <si>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</si>
  <si>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</si>
  <si>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</si>
  <si>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</si>
  <si>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</si>
  <si>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</si>
  <si>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</si>
  <si>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</si>
  <si>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</si>
  <si>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</si>
  <si>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</si>
  <si>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</si>
  <si>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</si>
  <si>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</si>
  <si>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</si>
  <si>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</si>
  <si>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</si>
  <si>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</si>
  <si>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</si>
  <si>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</si>
  <si>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</si>
  <si>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</si>
  <si>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</si>
  <si>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</si>
  <si>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</si>
  <si>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</si>
  <si>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</si>
  <si>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</si>
  <si>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</si>
  <si>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</si>
  <si>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</si>
  <si>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</si>
  <si>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</si>
  <si>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</si>
  <si>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</si>
  <si>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</si>
  <si>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</si>
  <si>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</si>
  <si>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</si>
  <si>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</si>
  <si>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</si>
  <si>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</si>
  <si>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</si>
  <si>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</si>
  <si>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</si>
  <si>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</si>
  <si>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</si>
  <si>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</si>
  <si>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</si>
  <si>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</si>
  <si>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</si>
  <si>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</si>
  <si>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</si>
  <si>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</si>
  <si>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</si>
  <si>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</si>
  <si>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</si>
  <si>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</si>
  <si>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</si>
  <si>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</si>
  <si>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</si>
  <si>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</si>
  <si>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</si>
  <si>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</si>
  <si>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</si>
  <si>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</si>
  <si>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</si>
  <si>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</si>
  <si>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</si>
  <si>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</si>
  <si>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</si>
  <si>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</si>
  <si>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</si>
  <si>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</si>
  <si>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</si>
  <si>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</si>
  <si>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</si>
  <si>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</si>
  <si>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</si>
  <si>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</si>
  <si>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</si>
  <si>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</si>
  <si>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</si>
  <si>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</si>
  <si>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</si>
  <si>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</si>
  <si>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</si>
  <si>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</si>
  <si>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</si>
  <si>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</si>
  <si>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</si>
  <si>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</si>
  <si>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</si>
  <si>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</si>
  <si>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</si>
  <si>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</si>
  <si>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</si>
  <si>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</si>
  <si>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</si>
  <si>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</si>
  <si>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</si>
  <si>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</si>
  <si>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</si>
  <si>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</si>
  <si>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</si>
  <si>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</si>
  <si>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</si>
  <si>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</si>
  <si>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</si>
  <si>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</si>
  <si>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</si>
  <si>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</si>
  <si>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</si>
  <si>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</si>
  <si>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</si>
  <si>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</si>
  <si>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</si>
  <si>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</si>
  <si>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</si>
  <si>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</si>
  <si>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</si>
  <si>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</si>
  <si>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</si>
  <si>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</si>
  <si>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</si>
  <si>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</si>
  <si>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</si>
  <si>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</si>
  <si>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</si>
  <si>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</si>
  <si>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</si>
  <si>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</si>
  <si>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</si>
  <si>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</si>
  <si>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</si>
  <si>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</si>
  <si>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</si>
  <si>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</si>
  <si>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</si>
  <si>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</si>
  <si>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</si>
  <si>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</si>
  <si>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</si>
  <si>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</si>
  <si>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</si>
  <si>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</si>
  <si>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</si>
  <si>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</si>
  <si>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</si>
  <si>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</si>
  <si>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</si>
  <si>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</si>
  <si>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</si>
  <si>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</si>
  <si>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</si>
  <si>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</si>
  <si>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</si>
  <si>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</si>
  <si>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</si>
  <si>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</si>
  <si>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</si>
  <si>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</si>
  <si>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</si>
  <si>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</si>
  <si>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</si>
  <si>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</si>
  <si>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</si>
  <si>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</si>
  <si>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</si>
  <si>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</si>
  <si>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</si>
  <si>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</si>
  <si>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</si>
  <si>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</si>
  <si>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</si>
  <si>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</si>
  <si>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</si>
  <si>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</si>
  <si>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</si>
  <si>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</si>
  <si>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</si>
  <si>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</si>
  <si>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</si>
  <si>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</si>
  <si>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</si>
  <si>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</si>
  <si>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</si>
  <si>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</si>
  <si>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</si>
  <si>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</si>
  <si>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</si>
  <si>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</si>
  <si>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</si>
  <si>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</si>
  <si>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</si>
  <si>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</si>
  <si>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</si>
  <si>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</si>
  <si>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</si>
  <si>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</si>
  <si>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</si>
  <si>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</si>
  <si>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</si>
  <si>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</si>
  <si>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</si>
  <si>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</si>
  <si>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</si>
  <si>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</si>
  <si>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</si>
  <si>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</si>
  <si>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</si>
  <si>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</si>
  <si>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</si>
  <si>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</si>
  <si>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</si>
  <si>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</si>
  <si>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</si>
  <si>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</si>
  <si>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</si>
  <si>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</si>
  <si>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</si>
  <si>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</si>
  <si>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</si>
  <si>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</si>
  <si>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</si>
  <si>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</si>
  <si>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</si>
  <si>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</si>
  <si>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</si>
  <si>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</si>
  <si>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</si>
  <si>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</si>
  <si>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</si>
  <si>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</si>
  <si>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</si>
  <si>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</si>
  <si>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</si>
  <si>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</si>
  <si>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</si>
  <si>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</si>
  <si>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</si>
  <si>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</si>
  <si>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</si>
  <si>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</si>
  <si>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</si>
  <si>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</si>
  <si>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</si>
  <si>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</si>
  <si>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</si>
  <si>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</si>
  <si>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</si>
  <si>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</si>
  <si>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</si>
  <si>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</si>
  <si>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</si>
  <si>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</si>
  <si>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</si>
  <si>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</si>
  <si>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</si>
  <si>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</si>
  <si>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</si>
  <si>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</si>
  <si>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</si>
  <si>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</si>
  <si>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</si>
  <si>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</si>
  <si>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</si>
  <si>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</si>
  <si>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</si>
  <si>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</si>
  <si>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</si>
  <si>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</si>
  <si>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</si>
  <si>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</si>
  <si>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</si>
  <si>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</si>
  <si>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</si>
  <si>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</si>
  <si>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</si>
  <si>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</si>
  <si>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</si>
  <si>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</si>
  <si>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</si>
  <si>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</si>
  <si>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</si>
  <si>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</si>
  <si>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</si>
  <si>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</si>
  <si>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</si>
  <si>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</si>
  <si>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</si>
  <si>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</si>
  <si>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</si>
  <si>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</si>
  <si>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</si>
  <si>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</si>
  <si>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</si>
  <si>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</si>
  <si>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</si>
  <si>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</si>
  <si>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</si>
  <si>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</si>
  <si>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</si>
  <si>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</si>
  <si>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</si>
  <si>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</si>
  <si>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</si>
  <si>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</si>
  <si>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</si>
  <si>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</si>
  <si>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</si>
  <si>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</si>
  <si>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</si>
  <si>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</si>
  <si>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</si>
  <si>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</si>
  <si>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</si>
  <si>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</si>
  <si>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</si>
  <si>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</si>
  <si>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</si>
  <si>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</si>
  <si>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</si>
  <si>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</si>
  <si>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</si>
  <si>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</si>
  <si>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</si>
  <si>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</si>
  <si>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</si>
  <si>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</si>
  <si>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</si>
  <si>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</si>
  <si>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</si>
  <si>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</si>
  <si>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</si>
  <si>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</si>
  <si>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</si>
  <si>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</si>
  <si>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</si>
  <si>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</si>
  <si>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</si>
  <si>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</si>
  <si>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</si>
  <si>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</si>
  <si>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</si>
  <si>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</si>
  <si>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</si>
  <si>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</si>
  <si>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</si>
  <si>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</si>
  <si>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</si>
  <si>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</si>
  <si>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</si>
  <si>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</si>
  <si>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</si>
  <si>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</si>
  <si>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</si>
  <si>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</si>
  <si>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</si>
  <si>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</si>
  <si>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</si>
  <si>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</si>
  <si>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</si>
  <si>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</si>
  <si>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</si>
  <si>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</si>
  <si>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</si>
  <si>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</si>
  <si>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</si>
  <si>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</si>
  <si>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</si>
  <si>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</si>
  <si>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</si>
  <si>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</si>
  <si>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</si>
  <si>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</si>
  <si>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</si>
  <si>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</si>
  <si>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</si>
  <si>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</si>
  <si>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</si>
  <si>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</si>
  <si>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</si>
  <si>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</si>
  <si>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</si>
  <si>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</si>
  <si>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</si>
  <si>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</si>
  <si>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</si>
  <si>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</si>
  <si>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</si>
  <si>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</si>
  <si>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</si>
  <si>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</si>
  <si>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</si>
  <si>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</si>
  <si>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</si>
  <si>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</si>
  <si>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</si>
  <si>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</si>
  <si>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</si>
  <si>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</si>
  <si>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</si>
  <si>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</si>
  <si>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</si>
  <si>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</si>
  <si>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</si>
  <si>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</si>
  <si>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</si>
  <si>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</si>
  <si>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</si>
  <si>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</si>
  <si>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</si>
  <si>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</si>
  <si>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</si>
  <si>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</si>
  <si>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</si>
  <si>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</si>
  <si>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</si>
  <si>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</si>
  <si>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</si>
  <si>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</si>
  <si>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</si>
  <si>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</si>
  <si>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</si>
  <si>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</si>
  <si>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</si>
  <si>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</si>
  <si>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</si>
  <si>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</si>
  <si>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</si>
  <si>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</si>
  <si>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</si>
  <si>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</si>
  <si>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</si>
  <si>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</si>
  <si>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</si>
  <si>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</si>
  <si>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</si>
  <si>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</si>
  <si>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</si>
  <si>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</si>
  <si>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</si>
  <si>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</si>
  <si>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</si>
  <si>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</si>
  <si>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</si>
  <si>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</si>
  <si>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</si>
  <si>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</si>
  <si>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</si>
  <si>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</si>
  <si>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</si>
  <si>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</si>
  <si>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</si>
  <si>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</si>
  <si>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</si>
  <si>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</si>
  <si>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</si>
  <si>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</si>
  <si>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</si>
  <si>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</si>
  <si>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</si>
  <si>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</si>
  <si>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</si>
  <si>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</si>
  <si>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</si>
  <si>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</si>
  <si>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</si>
  <si>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</si>
  <si>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</si>
  <si>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</si>
  <si>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</si>
  <si>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</si>
  <si>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</si>
  <si>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</si>
  <si>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</si>
  <si>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</si>
  <si>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</si>
  <si>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</si>
  <si>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</si>
  <si>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</si>
  <si>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</si>
  <si>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</si>
  <si>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</si>
  <si>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</si>
  <si>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</si>
  <si>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</si>
  <si>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</si>
  <si>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</si>
  <si>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</si>
  <si>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</si>
  <si>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</si>
  <si>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</si>
  <si>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</si>
  <si>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</si>
  <si>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</si>
  <si>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</si>
  <si>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</si>
  <si>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</si>
  <si>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</si>
  <si>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</si>
  <si>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</si>
  <si>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</si>
  <si>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</si>
  <si>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</si>
  <si>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</si>
  <si>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</si>
  <si>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</si>
  <si>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</si>
  <si>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</si>
  <si>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</si>
  <si>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</si>
  <si>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</si>
  <si>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</si>
  <si>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</si>
  <si>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</si>
  <si>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</si>
  <si>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</si>
  <si>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</si>
  <si>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</si>
  <si>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</si>
  <si>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</si>
  <si>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</si>
  <si>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</si>
  <si>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</si>
  <si>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</si>
  <si>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</si>
  <si>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</si>
  <si>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</si>
  <si>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</si>
  <si>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</si>
  <si>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</si>
  <si>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</si>
  <si>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</si>
  <si>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</si>
  <si>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</si>
  <si>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</si>
  <si>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</si>
  <si>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</si>
  <si>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</si>
  <si>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</si>
  <si>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</si>
  <si>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</si>
  <si>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</si>
  <si>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</si>
  <si>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</si>
  <si>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</si>
  <si>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</si>
  <si>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</si>
  <si>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</si>
  <si>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</si>
  <si>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</si>
  <si>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</si>
  <si>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</si>
  <si>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</si>
  <si>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</si>
  <si>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</si>
  <si>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</si>
  <si>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</si>
  <si>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</si>
  <si>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</si>
  <si>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</si>
  <si>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</si>
  <si>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</si>
  <si>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</si>
  <si>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</si>
  <si>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</si>
  <si>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</si>
  <si>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</si>
  <si>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</si>
  <si>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</si>
  <si>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</si>
  <si>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</si>
  <si>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</si>
  <si>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</si>
  <si>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</si>
  <si>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</si>
  <si>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</si>
  <si>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</si>
  <si>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</si>
  <si>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</si>
  <si>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</si>
  <si>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</si>
  <si>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</si>
  <si>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</si>
  <si>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</si>
  <si>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</si>
  <si>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</si>
  <si>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</si>
  <si>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</si>
  <si>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</si>
  <si>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</si>
  <si>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</si>
  <si>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</si>
  <si>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</si>
  <si>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</si>
  <si>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</si>
  <si>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</si>
  <si>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</si>
  <si>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</si>
  <si>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</si>
  <si>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</si>
  <si>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</si>
  <si>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</si>
  <si>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</si>
  <si>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</si>
  <si>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</si>
  <si>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</si>
  <si>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</si>
  <si>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</si>
  <si>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</si>
  <si>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</si>
  <si>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</si>
  <si>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</si>
  <si>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</si>
  <si>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</si>
  <si>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</si>
  <si>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</si>
  <si>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</si>
  <si>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</si>
  <si>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</si>
  <si>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</si>
  <si>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</si>
  <si>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</si>
  <si>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</si>
  <si>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</si>
  <si>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</si>
  <si>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</si>
  <si>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</si>
  <si>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</si>
  <si>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</si>
  <si>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</si>
  <si>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</si>
  <si>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</si>
  <si>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</si>
  <si>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</si>
  <si>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</si>
  <si>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</si>
  <si>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</si>
  <si>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</si>
  <si>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</si>
  <si>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</si>
  <si>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</si>
  <si>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</si>
  <si>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</si>
  <si>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</si>
  <si>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</si>
  <si>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</si>
  <si>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</si>
  <si>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</si>
  <si>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</si>
  <si>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</si>
  <si>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</si>
  <si>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</si>
  <si>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</si>
  <si>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</si>
  <si>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</si>
  <si>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</si>
  <si>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</si>
  <si>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</si>
  <si>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</si>
  <si>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</si>
  <si>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</si>
  <si>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</si>
  <si>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</si>
  <si>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</si>
  <si>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</si>
  <si>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</si>
  <si>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</si>
  <si>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</si>
  <si>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</si>
  <si>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</si>
  <si>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</si>
  <si>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</si>
  <si>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</si>
  <si>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</si>
  <si>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</si>
  <si>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</si>
  <si>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</si>
  <si>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</si>
  <si>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</si>
  <si>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</si>
  <si>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</si>
  <si>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</si>
  <si>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</si>
  <si>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</si>
  <si>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</si>
  <si>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</si>
  <si>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</si>
  <si>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</si>
  <si>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</si>
  <si>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</si>
  <si>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</si>
  <si>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</si>
  <si>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</si>
  <si>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</si>
  <si>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</si>
  <si>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</si>
  <si>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</si>
  <si>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</si>
  <si>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</si>
  <si>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</si>
  <si>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</si>
  <si>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</si>
  <si>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</si>
  <si>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</si>
  <si>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</si>
  <si>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</si>
  <si>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</si>
  <si>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</si>
  <si>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</si>
  <si>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</si>
  <si>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</si>
  <si>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</si>
  <si>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</si>
  <si>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</si>
  <si>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</si>
  <si>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</si>
  <si>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</si>
  <si>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</si>
  <si>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</si>
  <si>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</si>
  <si>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</si>
  <si>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</si>
  <si>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</si>
  <si>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</si>
  <si>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</si>
  <si>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</si>
  <si>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</si>
  <si>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</si>
  <si>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</si>
  <si>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</si>
  <si>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</si>
  <si>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</si>
  <si>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</si>
  <si>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</si>
  <si>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</si>
  <si>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</si>
  <si>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</si>
  <si>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</si>
  <si>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</si>
  <si>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</si>
  <si>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</si>
  <si>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</si>
  <si>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</si>
  <si>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</si>
  <si>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</si>
  <si>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</si>
  <si>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</si>
  <si>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</si>
  <si>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</si>
  <si>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</si>
  <si>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</si>
  <si>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</si>
  <si>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</si>
  <si>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</si>
  <si>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</si>
  <si>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</si>
  <si>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</si>
  <si>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</si>
  <si>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</si>
  <si>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</si>
  <si>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</si>
  <si>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</si>
  <si>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</si>
  <si>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</si>
  <si>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</si>
  <si>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</si>
  <si>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</si>
  <si>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</si>
  <si>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</si>
  <si>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</si>
  <si>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</si>
  <si>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</si>
  <si>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</si>
  <si>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</si>
  <si>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</si>
  <si>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</si>
  <si>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</si>
  <si>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</si>
  <si>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</si>
  <si>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</si>
  <si>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</si>
  <si>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</si>
  <si>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</si>
  <si>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</si>
  <si>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</si>
  <si>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</si>
  <si>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</si>
  <si>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</si>
  <si>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</si>
  <si>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</si>
  <si>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</si>
  <si>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</si>
  <si>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</si>
  <si>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</si>
  <si>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</si>
  <si>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</si>
  <si>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</si>
  <si>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</si>
  <si>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</si>
  <si>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</si>
  <si>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</si>
  <si>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</si>
  <si>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</si>
  <si>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</si>
  <si>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</si>
  <si>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</si>
  <si>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</si>
  <si>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</si>
  <si>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</si>
  <si>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</si>
  <si>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</si>
  <si>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</si>
  <si>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</si>
  <si>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</si>
  <si>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</si>
  <si>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</si>
  <si>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</si>
  <si>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</si>
  <si>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</si>
  <si>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</si>
  <si>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</si>
  <si>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</si>
  <si>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</si>
  <si>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</si>
  <si>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</si>
  <si>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</si>
  <si>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</si>
  <si>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</si>
  <si>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</si>
  <si>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</si>
  <si>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</si>
  <si>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</si>
  <si>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</si>
  <si>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</si>
  <si>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</si>
  <si>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</si>
  <si>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</si>
  <si>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</si>
  <si>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</si>
  <si>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</si>
  <si>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</si>
  <si>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</si>
  <si>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</si>
  <si>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</si>
  <si>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</si>
  <si>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</si>
  <si>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</si>
  <si>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</si>
  <si>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</si>
  <si>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</si>
  <si>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</si>
  <si>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</si>
  <si>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</si>
  <si>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</si>
  <si>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</si>
  <si>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</si>
  <si>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</si>
  <si>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</si>
  <si>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</si>
  <si>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</si>
  <si>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</si>
  <si>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</si>
  <si>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</si>
  <si>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</si>
  <si>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</si>
  <si>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</si>
  <si>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</si>
  <si>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</si>
  <si>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</si>
  <si>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</si>
  <si>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</si>
  <si>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</si>
  <si>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</si>
  <si>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</si>
  <si>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</si>
  <si>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</si>
  <si>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</si>
  <si>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</si>
  <si>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</si>
  <si>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</si>
  <si>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</si>
  <si>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</si>
  <si>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</si>
  <si>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</si>
  <si>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</si>
  <si>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</si>
  <si>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</si>
  <si>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</si>
  <si>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</si>
  <si>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</si>
  <si>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</si>
  <si>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</si>
  <si>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</si>
  <si>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</si>
  <si>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</si>
  <si>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</si>
  <si>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</si>
  <si>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</si>
  <si>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</si>
  <si>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</si>
  <si>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</si>
  <si>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</si>
  <si>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</si>
  <si>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</si>
  <si>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</si>
  <si>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</si>
  <si>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</si>
  <si>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</si>
  <si>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</si>
  <si>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</si>
  <si>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</si>
  <si>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</si>
  <si>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</si>
  <si>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</si>
  <si>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</si>
  <si>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</si>
  <si>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</si>
  <si>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</si>
  <si>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</si>
  <si>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</si>
  <si>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</si>
  <si>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</si>
  <si>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</si>
  <si>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</si>
  <si>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</si>
  <si>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</si>
  <si>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</si>
  <si>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</si>
  <si>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</si>
  <si>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</si>
  <si>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</si>
  <si>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</si>
  <si>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</si>
  <si>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</si>
  <si>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</si>
  <si>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</si>
  <si>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</si>
  <si>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</si>
  <si>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</si>
  <si>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</si>
  <si>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</si>
  <si>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</si>
  <si>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</si>
  <si>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</si>
  <si>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</si>
  <si>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</si>
  <si>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</si>
  <si>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</si>
  <si>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</si>
  <si>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</si>
  <si>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</si>
  <si>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</si>
  <si>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</si>
  <si>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</si>
  <si>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</si>
  <si>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</si>
  <si>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</si>
  <si>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</si>
  <si>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</si>
  <si>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</si>
  <si>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</si>
  <si>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</si>
  <si>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</si>
  <si>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</si>
  <si>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</si>
  <si>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</si>
  <si>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</si>
  <si>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</si>
  <si>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</si>
  <si>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</si>
  <si>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</si>
  <si>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</si>
  <si>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</si>
  <si>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</si>
  <si>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</si>
  <si>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</si>
  <si>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</si>
  <si>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</si>
  <si>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</si>
  <si>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</si>
  <si>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</si>
  <si>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</si>
  <si>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</si>
  <si>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</si>
  <si>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</si>
  <si>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</si>
  <si>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</si>
  <si>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</si>
  <si>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</si>
  <si>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</si>
  <si>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</si>
  <si>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</si>
  <si>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</si>
  <si>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</si>
  <si>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</si>
  <si>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</si>
  <si>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</si>
  <si>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</si>
  <si>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</si>
  <si>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</si>
  <si>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</si>
  <si>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</si>
  <si>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</si>
  <si>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</si>
  <si>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</si>
  <si>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</si>
  <si>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</si>
  <si>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</si>
  <si>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</si>
  <si>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</si>
  <si>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</si>
  <si>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</si>
  <si>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</si>
  <si>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</si>
  <si>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</si>
  <si>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</si>
  <si>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</si>
  <si>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</si>
  <si>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</si>
  <si>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</si>
  <si>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</si>
  <si>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</si>
  <si>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</si>
  <si>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</si>
  <si>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</si>
  <si>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</si>
  <si>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</si>
  <si>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</si>
  <si>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</si>
  <si>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</si>
  <si>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</si>
  <si>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</si>
  <si>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</si>
  <si>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</si>
  <si>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</si>
  <si>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</si>
  <si>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</si>
  <si>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</si>
  <si>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</si>
  <si>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</si>
  <si>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</si>
  <si>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</si>
  <si>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</si>
  <si>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</si>
  <si>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</si>
  <si>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</si>
  <si>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</si>
  <si>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</si>
  <si>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</si>
  <si>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</si>
  <si>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</si>
  <si>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</si>
  <si>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</si>
  <si>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</si>
  <si>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</si>
  <si>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</si>
  <si>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</si>
  <si>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</si>
  <si>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</si>
  <si>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</si>
  <si>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</si>
  <si>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</si>
  <si>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</si>
  <si>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</si>
  <si>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</si>
  <si>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</si>
  <si>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</si>
  <si>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</si>
  <si>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</si>
  <si>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</si>
  <si>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</si>
  <si>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</si>
  <si>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</si>
  <si>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</si>
  <si>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</si>
  <si>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</si>
  <si>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</si>
  <si>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</si>
  <si>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</si>
  <si>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</si>
  <si>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</si>
  <si>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</si>
  <si>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</si>
  <si>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</si>
  <si>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</si>
  <si>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</si>
  <si>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</si>
  <si>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</si>
  <si>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</si>
  <si>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</si>
  <si>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</si>
  <si>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</si>
  <si>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</si>
  <si>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</si>
  <si>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</si>
  <si>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</si>
  <si>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</si>
  <si>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</si>
  <si>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</si>
  <si>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</si>
  <si>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</si>
  <si>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</si>
  <si>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</si>
  <si>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</si>
  <si>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</si>
  <si>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</si>
  <si>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</si>
  <si>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</si>
  <si>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</si>
  <si>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</si>
  <si>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</si>
  <si>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</si>
  <si>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</si>
  <si>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</si>
  <si>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</si>
  <si>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</si>
  <si>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</si>
  <si>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</si>
  <si>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</si>
  <si>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</si>
  <si>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</si>
  <si>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</si>
  <si>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</si>
  <si>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</si>
  <si>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</si>
  <si>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</si>
  <si>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</si>
  <si>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</si>
  <si>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</si>
  <si>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</si>
  <si>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</si>
  <si>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</si>
  <si>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</si>
  <si>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</si>
  <si>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</si>
  <si>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</si>
  <si>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</si>
  <si>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</si>
  <si>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</si>
  <si>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</si>
  <si>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</si>
  <si>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</si>
  <si>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</si>
  <si>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</si>
  <si>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</si>
  <si>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</si>
  <si>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</si>
  <si>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</si>
  <si>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</si>
  <si>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</si>
  <si>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</si>
  <si>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</si>
  <si>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</si>
  <si>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</si>
  <si>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</si>
  <si>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</si>
  <si>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</si>
  <si>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</si>
  <si>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</si>
  <si>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</si>
  <si>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</si>
  <si>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</si>
  <si>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</si>
  <si>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</si>
  <si>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</si>
  <si>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</si>
  <si>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</si>
  <si>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</si>
  <si>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</si>
  <si>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</si>
  <si>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</si>
  <si>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</si>
  <si>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</si>
  <si>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</si>
  <si>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</si>
  <si>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</si>
  <si>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</si>
  <si>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</si>
  <si>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</si>
  <si>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</si>
  <si>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</si>
  <si>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</si>
  <si>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</si>
  <si>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</si>
  <si>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</si>
  <si>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</si>
  <si>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</si>
  <si>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</si>
  <si>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</si>
  <si>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</si>
  <si>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</si>
  <si>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</si>
  <si>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</si>
  <si>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</si>
  <si>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</si>
  <si>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</si>
  <si>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</si>
  <si>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</si>
  <si>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</si>
  <si>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</si>
  <si>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</si>
  <si>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</si>
  <si>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</si>
  <si>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</si>
  <si>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</si>
  <si>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</si>
  <si>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</si>
  <si>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</si>
  <si>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</si>
  <si>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</si>
  <si>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</si>
  <si>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</si>
  <si>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</si>
  <si>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</si>
  <si>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</si>
  <si>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</si>
  <si>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</si>
  <si>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</si>
  <si>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</si>
  <si>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</si>
  <si>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</si>
  <si>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</si>
  <si>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</si>
  <si>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</si>
  <si>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</si>
  <si>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</si>
  <si>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</si>
  <si>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</si>
  <si>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</si>
  <si>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</si>
  <si>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</si>
  <si>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</si>
  <si>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</si>
  <si>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</si>
  <si>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</si>
  <si>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</si>
  <si>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</si>
  <si>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</si>
  <si>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</si>
  <si>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</si>
  <si>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</si>
  <si>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</si>
  <si>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</si>
  <si>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</si>
  <si>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</si>
  <si>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</si>
  <si>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</si>
  <si>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</si>
  <si>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</si>
  <si>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</si>
  <si>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</si>
  <si>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</si>
  <si>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</si>
  <si>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</si>
  <si>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</si>
  <si>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</si>
  <si>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</si>
  <si>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</si>
  <si>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</si>
  <si>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</si>
  <si>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</si>
  <si>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</si>
  <si>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</si>
  <si>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</si>
  <si>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</si>
  <si>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</si>
  <si>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</si>
  <si>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</si>
  <si>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</si>
  <si>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</si>
  <si>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</si>
  <si>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</si>
  <si>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</si>
  <si>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</si>
  <si>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</si>
  <si>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</si>
  <si>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</si>
  <si>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</si>
  <si>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</si>
  <si>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</si>
  <si>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</si>
  <si>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</si>
  <si>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</si>
  <si>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</si>
  <si>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</si>
  <si>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</si>
  <si>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</si>
  <si>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</si>
  <si>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</si>
  <si>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</si>
  <si>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</si>
  <si>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</si>
  <si>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</si>
  <si>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</si>
  <si>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</si>
  <si>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</si>
  <si>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</si>
  <si>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</si>
  <si>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</si>
  <si>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</si>
  <si>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</si>
  <si>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</si>
  <si>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</si>
  <si>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</si>
  <si>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</si>
  <si>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</si>
  <si>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</si>
  <si>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</si>
  <si>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</si>
  <si>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</si>
  <si>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</si>
  <si>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</si>
  <si>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</si>
  <si>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</si>
  <si>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</si>
  <si>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</si>
  <si>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</si>
  <si>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</si>
  <si>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</si>
  <si>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</si>
  <si>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</si>
  <si>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</si>
  <si>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</si>
  <si>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</si>
  <si>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</si>
  <si>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</si>
  <si>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</si>
  <si>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</si>
  <si>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</si>
  <si>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</si>
  <si>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</si>
  <si>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</si>
  <si>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</si>
  <si>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</si>
  <si>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</si>
  <si>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</si>
  <si>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</si>
  <si>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</si>
  <si>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</si>
  <si>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</si>
  <si>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</si>
  <si>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</si>
  <si>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</si>
  <si>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</si>
  <si>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</si>
  <si>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</si>
  <si>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</si>
  <si>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</si>
  <si>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</si>
  <si>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</si>
  <si>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</si>
  <si>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</si>
  <si>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</si>
  <si>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</si>
  <si>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</si>
  <si>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</si>
  <si>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</si>
  <si>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</si>
  <si>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</si>
  <si>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</si>
  <si>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</si>
  <si>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</si>
  <si>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</si>
  <si>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</si>
  <si>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</si>
  <si>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</si>
  <si>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</si>
  <si>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</si>
  <si>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</si>
  <si>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</si>
  <si>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</si>
  <si>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</si>
  <si>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</si>
  <si>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</si>
  <si>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</si>
  <si>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</si>
  <si>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</si>
  <si>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</si>
  <si>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</si>
  <si>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</si>
  <si>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</si>
  <si>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</si>
  <si>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</si>
  <si>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</si>
  <si>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</si>
  <si>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</si>
  <si>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</si>
  <si>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</si>
  <si>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</si>
  <si>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"Översättnings"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“ISEAP”-bladet, lägg till fler rader om det behövs.
</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</si>
  <si>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</si>
  <si>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Pico</t>
  </si>
  <si>
    <t>Os principais objectivos da estratégia de energia da Região Autónoma dos Açores são:
:: Reduzir as importações de combustíveis fósseis, de forma a:
    - Reduzir a dependência energética do exterior;
    - Melhorar a segurança do fornecimento energético;
    - Incrementar a sustentabilidade económica da Região.
:: Reduzir as emissões de CO2
    - Considerando que as áreas insulares são mais sensíveis às alterações climáticas e que uma fatia importante da economia das ilhas está relacionada com aspectos ambientais, desde o sector do turismo à agricultura, a redução das emissões de CO2 e dos seus efeitos no clima e no ambiente são de primordial importância para a Região.
:: Contribuir para o desenvolvimento social e económico da Região através da promoção de investimentos em fontes renováveis de energia, eficiência energética, mobilidade sustentável, etc.
As quatro metas definidas pelo Governo Regional para 2020 são:
:: Produzir 75% da electricidade a partir de fontes renováveis;
:: Atingir 40% da energia primária total com origem em fontes renováveis;
:: Utilizar pelo menos 50% da energia primária total sob a vorma de electricidade;
:: Reduzir em pelo menos 20% as emissões de CO2 relativamente ao ano base de 2005.</t>
  </si>
  <si>
    <t>Plano de Acção para a Energia Sustentável da Ilha do Pico</t>
  </si>
  <si>
    <t>Direcção Regional de Energia</t>
  </si>
  <si>
    <t>Particulares</t>
  </si>
  <si>
    <t>Incremento de eficiência dos sistemas de AQS</t>
  </si>
  <si>
    <t>Redutores de caudal AQS em 25% das casas</t>
  </si>
  <si>
    <t>Melhorias de eficiência térmica dos edifícios devidas à Certificação Energética</t>
  </si>
  <si>
    <t>Troca de 25% das lâmpadas por CFL e LED</t>
  </si>
  <si>
    <t>Troca de 20% dos frigoríficos por mais eficientes</t>
  </si>
  <si>
    <t>Melhoria da eficiência dos aparelhos audio visuais e redução de consumos de stand-by</t>
  </si>
  <si>
    <t>1130 painéis solares térmicos de 2m2 cada, para AQS</t>
  </si>
  <si>
    <t>Redução de 35% do consumo eléctrico em iluminação pública.</t>
  </si>
  <si>
    <t>Governo Regional e Municipios</t>
  </si>
  <si>
    <t>Programa SIRIART de melhoria de eficiência na frota de transportes públicos (8% de melhoria em 90% da frota)</t>
  </si>
  <si>
    <t>Governo Regional</t>
  </si>
  <si>
    <t xml:space="preserve">         </t>
  </si>
  <si>
    <t>Troca de veículos térmicos por 1445 veículos eléctricos</t>
  </si>
  <si>
    <t>Ampliação Parque Eólico Terras do Canto - 0.6 MW</t>
  </si>
  <si>
    <t>EDA</t>
  </si>
  <si>
    <t>Novo parque eólico ou ampliação do existente - 3.6 MW</t>
  </si>
  <si>
    <t>Instalação de 1.2 MW de solar fotovoltáico no sector residencial</t>
  </si>
  <si>
    <t>Comissão consultiva: constituida por representantes das partes interessadas.</t>
  </si>
  <si>
    <t>Coordenação: AZORINA S.A.;Direcção Regional de Energia;
Pessoal técnico: AZORINA S.A.; Direcção Regional de Energia; EDA - Electricidade dos Açores; Empresas promotoras; Empresas de construção e obras; Outros.</t>
  </si>
  <si>
    <t>Reuniões regulares com a Comissão de Acompanhamento Local, com informação sobre as acções implementadas ou a implementar e o andamento das medidas e projectos. Identificação de acções alternativas em caso de desvios do plano original.
Para a população em geral: campanhas e artigos de informação em orgãos de comunicação, eventos específicos sobre os  temas em desenvolvimento. Divulgação das medidas em implementação e dos seus benefícios para o ambiente e para a Região.</t>
  </si>
  <si>
    <t>As fontes de financiamento serão:
- Orçamento das empresas públicas;
- Fundos próprios;
- Banco Europeu de Investimentos;
- Crédito bancário local;
- Orçamento Regional.</t>
  </si>
  <si>
    <t xml:space="preserve">Para efeitos de monitorização, serão reunidos dados de consumos de energia final, produção de energia secundária, geração de origem renovável e estado de desenvolvimento da implementação das medidas do Plano de Acção
Os valores reais de geração e utilização de energia serão comparados com os cenários previstos e as medidas implementadas ou em implementação serão igualmente comparadas com as inscritas no Plano de Acção. A Comissão Consultiva analisa os indicadores relativos aos objectivos e metas do projecto e o progresso da implementação das medidas. Esta Comissão reunirá pelo menos de dois em dois anos para discutir os resultados e as soluções necessárias para garantir a implementação do Plano de Acção para a Energia Sustentável dos Açores. </t>
  </si>
  <si>
    <t xml:space="preserve"> 28 milhões de euros até 2020 - 82% Particulares; 18% Empresas públicas</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</si>
</sst>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4"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8"><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4" fillID_"0" borderID_"0" xfID_"0" applyFont="1" applyBorder="1" applyAlignment="1" applyProtection="1"><alignment vertical="center"/></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4" fillID_"0" borderID_"8" xfID_"0" applyFont="1" applyBorder="1" applyAlignment="1" applyProtection="1"><alignment horizontal="left" vertical="center" wrapText="1"/></xf><xf numFmtID_"0" fontID_"4" fillID_"0" borderID_"7"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7" sqref="B7"/></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5" t="str"><f>Translation!$A$31</f><v>Plano de Acção para a Energia Sustentável nas Ilhas (PAES)</v></c><c r="C1" s="245"/><c r="D1" s="82"/><c r="E1" s="82"/><c r="F1" s="82"/><c r="G1" s="82"/><c r="H1" s="82"/><c r="I1" s="82"/><c r="J1" s="82"/><c r="K1" s="82"/><c r="L1" s="82"/><c r="M1" s="82"/><c r="N1" s="82"/></row><row r="2" spans="1:31" s="21" customFormat="1" ht="28.5" customHeight="1" x14ac:dyDescent="0.25"><c r="A2" s="246" t="s"><v>1464</v></c><c r="B2" s="246"/><c r="C2" s="114"/><c r="D2" s="77"/><c r="E2" s="77"/><c r="F2" s="78" t="str"><f>Translation!$A$10</f><v>Ilha</v></c><c r="G2" s="79" t="str"><f>'Start here'!$B$5</f><v>Pico</v></c><c r="H2" s="81"/><c r="I2" s="81"/><c r="J2" s="81"/><c r="K2" s="81"/><c r="L2" s="81"/><c r="M2" s="81"/><c r="N2" s="81"/></row><row r="4" spans="1:31" ht="30" customHeight="1" x14ac:dyDescent="0.25"><c r="A4" s="172" t="str"><f>Translation!A9</f><v>Idioma</v></c><c r="B4" s="102" t="s"><v>12</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Ilha</v></c><c r="B5" s="234" t="s"><v>1511</v></c></row><row r="6" spans="1:31" s="174" customFormat="1" ht="30" customHeight="1" x14ac:dyDescent="0.25"><c r="A6" s="48" t="str"><f>Translation!A12</f><v>Ano base</v></c><c r="B6" s="234"><v>2008</v></c></row><row r="7" spans="1:31" s="174" customFormat="1" ht="30" customHeight="1" x14ac:dyDescent="0.25"><c r="A7" s="48" t="str"><f>Translation!A13</f><v>Método de cálculo de CO2</v></c><c r="B7" s="103" t="s"><v>521</v></c><c r="D7" s="46" t="s"><v>521</v></c><c r="E7" s="46" t="s"><v>520</v></c><c r="F7" s="47" t="str"><f>IF(B7=D7,Translation!A14,Translation!A15)</f><v>Factores de emissão IPCC</v></c></row><row r="8" spans="1:31" s="174" customFormat="1" ht="30" customHeight="1" x14ac:dyDescent="0.25"><c r="A8" s="48" t="str"><f>Translation!A16</f><v>Unidade das emissões</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Folha</v></c><c r="B11" s="248" t="str"><f>Translation!A24</f><v>Conteúdo</v></c><c r="C11" s="248"/></row><row r="12" spans="1:31" ht="15.75" x14ac:dyDescent="0.25"><c r="A12" s="202" t="s"><v>519</v></c><c r="B12" s="247" t="str"><f>Translation!A25</f><v>Tem por objectivo permitir a tradução das tabelas.</v></c><c r="C12" s="247"/></row><row r="13" spans="1:31" ht="15.75" x14ac:dyDescent="0.25"><c r="A13" s="202" t="s"><v>518</v></c><c r="B13" s="249" t="str"><f>Translation!A26</f><v>Para inserir os factores de emissão de CO2 para o cálculo das emissões.</v></c><c r="C13" s="249"/></row><row r="14" spans="1:31" ht="15.75" x14ac:dyDescent="0.25"><c r="A14" s="202" t="s"><v>811</v></c><c r="B14" s="249" t="str"><f>Translation!A27</f><v>Para establecer as metas do ISEAP, a visão a longo prazo e os aspectos oganizacionais e de financiamento.</v></c><c r="C14" s="249"/></row><row r="15" spans="1:31" ht="15.75" x14ac:dyDescent="0.25"><c r="A15" s="202" t="s"><v>812</v></c><c r="B15" s="249" t="str"><f>Translation!A28</f><v>Para apresentar o balanço energético do ano base e o inventário de emissões de CO2.</v></c><c r="C15" s="249"/></row><row r="16" spans="1:31" ht="15.75" x14ac:dyDescent="0.25"><c r="A16" s="202" t="s"><v>853</v></c><c r="B16" s="247" t="str"><f>Translation!A29</f><v>Para apresentar o balanço energético do plano em 2020 e o inventário de emissões de CO2.</v></c><c r="C16" s="247"/></row><row r="17" spans="1:14" ht="15.75" x14ac:dyDescent="0.25"><c r="A17" s="202" t="s"><v>813</v></c><c r="B17" s="247" t="str"><f>Translation!A30</f><v>Para apresentar a lista das acções para a energia sustentável, os investimentos e a redução das emissões de CO2.</v></c><c r="C17" s="247"/></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4" t="str"><f>Translation!A213</f><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4" s="244"/><c r="C24" s="244"/><c r="D24" s="216"/><c r="E24" s="216"/><c r="F24" s="216"/><c r="G24" s="216"/><c r="H24" s="216"/><c r="I24" s="216"/><c r="J24" s="216"/><c r="K24" s="216"/><c r="L24" s="216"/><c r="M24" s="216"/><c r="N24" s="216"/></row><row r="25" spans="1:14" s="217" customFormat="1" ht="193.5" customHeight="1" x14ac:dyDescent="0.25"><c r="A25" s="244" t="str"><f>Translation!A214</f><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5" s="244"/><c r="C25" s="244"/><c r="D25" s="216"/><c r="E25" s="216"/><c r="F25" s="216"/><c r="G25" s="216"/><c r="H25" s="216"/><c r="I25" s="216"/><c r="J25" s="216"/><c r="K25" s="216"/><c r="L25" s="216"/><c r="M25" s="216"/><c r="N25" s="216"/></row><row r="26" spans="1:14" s="217" customFormat="1" ht="178.5" customHeight="1" x14ac:dyDescent="0.25"><c r="A26" s="244" t="str"><f>Translation!A215</f><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6" s="244"/><c r="C26" s="244"/><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topLeftCell="E212" zoomScale="80" zoomScaleNormal="80" workbookViewID_"0"><selection activeCell="G215" sqref="G215"/></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0" t="str"><f>Translation!$A$31</f><v>Plano de Acção para a Energia Sustentável nas Ilhas (PAES)</v></c><c r="B1" s="250"/><c r="C1" s="250"/><c r="D1" s="250"/><c r="E1" s="250"/><c r="F1" s="250"/><c r="G1" s="250"/><c r="H1" s="250"/><c r="I1" s="250"/><c r="J1" s="250"/><c r="K1" s="250"/><c r="L1" s="250"/></row><row r="2" spans="1:12" s="21" customFormat="1" ht="28.5" customHeight="1" x14ac:dyDescent="0.25"><c r="A2" s="246" t="s"><v>1464</v></c><c r="B2" s="246"/><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QUADRO DE TRADUÇÕES</v></c><c r="B4" s="2"/><c r="C4" s="2"/><c r="D4" s="2"/><c r="E4" s="2"/><c r="F4" s="2"/><c r="G4" s="2"/><c r="H4" s="2"/><c r="I4" s="2"/><c r="J4" s="2"/><c r="K4" s="2"/><c r="L4" s="2"/></row><row r="5" spans="1:12" s="6" customFormat="1" ht="18.75" customHeight="1" x14ac:dyDescent="0.25"><c r="A5" s="4" t="str"><f>A8</f><v>Por favor coloque o código do seu idioma numa das células verde claro, preencha a tradução de cada item na coluna em baixo e coloque o código do seu idioma na célula azul escuro da primeira coluna:</v></c><c r="B5" s="5"/><c r="C5" s="5"/><c r="D5" s="5"/><c r="E5" s="5"/><c r="F5" s="5"/><c r="G5" s="5"/><c r="H5" s="5"/><c r="I5" s="5"/><c r="J5" s="5"/><c r="K5" s="5"/><c r="L5" s="5"/></row><row r="6" spans="1:12" s="8" customFormat="1" ht="34.5" customHeight="1" x14ac:dyDescent="0.25"><c r="A6" s="196" t="str"><f>'Start here'!B4</f><v>PT</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QUADRO DE TRADUÇÕES</v></c><c r="B7" s="229" t="s"><v>22</v></c><c r="C7" s="229" t="s"><v>23</v></c><c r="D7" s="229" t="s"><v>1461</v></c><c r="E7" s="229" t="str"><f>B7</f><v>TRANSLATION TABLE</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Por favor coloque o código do seu idioma numa das células verde claro, preencha a tradução de cada item na coluna em baixo e coloque o código do seu idioma na célula azul escuro da primeira coluna:</v></c><c r="B8" s="229" t="s"><v>24</v></c><c r="C8" s="229" t="s"><v>25</v></c><c r="D8" s="229" t="s"><v>955</v></c><c r="E8" s="229" t="str"><f t="shared" ref="E8:E72" si="1">B8</f><v>Please fill your language code in a light green cell, fill the translation of each item in the column below and put the code of your language in dark blue cell of first column:</v></c><c r="F8" s="229" t="s"><v>293</v></c><c r="G8" s="229" t="s"><v>1353</v></c><c r="H8" s="229" t="s"><v>390</v></c><c r="I8" s="229" t="s"><v>1164</v></c><c r="J8" s="229" t="s"><v>230</v></c><c r="K8" s="229"/><c r="L8" s="229"/></row><row r="9" spans="1:12" s="10" customFormat="1" ht="12" x14ac:dyDescent="0.25"><c r="A9" s="20" t="str"><f t="shared" si="0"/><v>Idioma</v></c><c r="B9" s="229" t="s"><v>826</v></c><c r="C9" s="229" t="s"><v>827</v></c><c r="D9" s="229" t="s"><v>827</v></c><c r="E9" s="229" t="str"><f t="shared" si="1"/><v>Language</v></c><c r="F9" s="229" t="s"><v>912</v></c><c r="G9" s="229" t="s"><v>1354</v></c><c r="H9" s="229" t="s"><v>1123</v></c><c r="I9" s="229" t="s"><v>1165</v></c><c r="J9" s="229" t="s"><v>909</v></c><c r="K9" s="229"/><c r="L9" s="229"/></row><row r="10" spans="1:12" s="10" customFormat="1" ht="12" x14ac:dyDescent="0.25"><c r="A10" s="20" t="str"><f t="shared" si="0"/><v>Ilha</v></c><c r="B10" s="229" t="s"><v>790</v></c><c r="C10" s="229" t="s"><v>789</v></c><c r="D10" s="229" t="s"><v>956</v></c><c r="E10" s="229" t="str"><f t="shared" si="1"/><v>Island</v></c><c r="F10" s="229" t="s"><v>788</v></c><c r="G10" s="229" t="s"><v>787</v></c><c r="H10" s="229" t="s"><v>786</v></c><c r="I10" s="229" t="s"><v>1166</v></c><c r="J10" s="229" t="s"><v>785</v></c><c r="K10" s="229"/><c r="L10" s="229"/></row><row r="11" spans="1:12" s="10" customFormat="1" ht="12" x14ac:dyDescent="0.25"><c r="A11" s="20" t="str"><f t="shared" si="0"/><v>Ano</v></c><c r="B11" s="229" t="s"><v>784</v></c><c r="C11" s="229" t="s"><v>783</v></c><c r="D11" s="229" t="s"><v>957</v></c><c r="E11" s="229" t="str"><f t="shared" si="1"/><v>Year</v></c><c r="F11" s="229" t="s"><v>782</v></c><c r="G11" s="229" t="s"><v>781</v></c><c r="H11" s="229" t="s"><v>781</v></c><c r="I11" s="229" t="s"><v>1167</v></c><c r="J11" s="229" t="s"><v>780</v></c><c r="K11" s="229"/><c r="L11" s="229"/></row><row r="12" spans="1:12" s="10" customFormat="1" ht="12" x14ac:dyDescent="0.25"><c r="A12" s="20" t="str"><f t="shared" si="0"/><v>Ano base</v></c><c r="B12" s="229" t="s"><v>814</v></c><c r="C12" s="229" t="s"><v>815</v></c><c r="D12" s="229" t="s"><v>958</v></c><c r="E12" s="229" t="str"><f t="shared" si="1"/><v>Baseline year</v></c><c r="F12" s="229" t="s"><v>913</v></c><c r="G12" s="229" t="s"><v>1355</v></c><c r="H12" s="229" t="s"><v>1124</v></c><c r="I12" s="229" t="s"><v>1168</v></c><c r="J12" s="229" t="s"><v>911</v></c><c r="K12" s="229"/><c r="L12" s="229"/></row><row r="13" spans="1:12" s="10" customFormat="1" ht="12" x14ac:dyDescent="0.25"><c r="A13" s="20" t="str"><f t="shared" si="0"/><v>Método de cálculo de CO2</v></c><c r="B13" s="229" t="s"><v>779</v></c><c r="C13" s="229" t="s"><v>778</v></c><c r="D13" s="229" t="s"><v>778</v></c><c r="E13" s="229" t="str"><f t="shared" si="1"/><v>CO2 calculation method</v></c><c r="F13" s="229" t="s"><v>777</v></c><c r="G13" s="229" t="s"><v>1356</v></c><c r="H13" s="229" t="s"><v>776</v></c><c r="I13" s="229" t="s"><v>1169</v></c><c r="J13" s="229" t="s"><v>775</v></c><c r="K13" s="229"/><c r="L13" s="229"/></row><row r="14" spans="1:12" s="10" customFormat="1" ht="12" x14ac:dyDescent="0.25"><c r="A14" s="20" t="str"><f t="shared" si="0"/><v>Factores de emissão IPCC</v></c><c r="B14" s="229" t="s"><v>774</v></c><c r="C14" s="229" t="s"><v>773</v></c><c r="D14" s="229" t="s"><v>959</v></c><c r="E14" s="229" t="str"><f t="shared" si="1"/><v>IPCC emission factors</v></c><c r="F14" s="229" t="s"><v>772</v></c><c r="G14" s="229" t="s"><v>1357</v></c><c r="H14" s="229" t="s"><v>771</v></c><c r="I14" s="229" t="s"><v>1170</v></c><c r="J14" s="229" t="s"><v>770</v></c><c r="K14" s="229"/><c r="L14" s="229"/></row><row r="15" spans="1:12" s="10" customFormat="1" ht="24" x14ac:dyDescent="0.25"><c r="A15" s="20" t="str"><f t="shared" si="0"/><v>Factores de emissão com Análise do Ciclo de Vida (LCA)</v></c><c r="B15" s="229" t="s"><v>769</v></c><c r="C15" s="229" t="s"><v>768</v></c><c r="D15" s="229" t="s"><v>960</v></c><c r="E15" s="229" t="str"><f t="shared" si="1"/><v>Life Cicle Analysis (LCA) emission factors</v></c><c r="F15" s="229" t="s"><v>767</v></c><c r="G15" s="229" t="s"><v>1358</v></c><c r="H15" s="229" t="s"><v>766</v></c><c r="I15" s="229" t="s"><v>1171</v></c><c r="J15" s="229" t="s"><v>765</v></c><c r="K15" s="229"/><c r="L15" s="229"/></row><row r="16" spans="1:12" s="10" customFormat="1" ht="12" x14ac:dyDescent="0.25"><c r="A16" s="20" t="str"><f t="shared" si="0"/><v>Unidade das emissões</v></c><c r="B16" s="229" t="s"><v>403</v></c><c r="C16" s="229" t="s"><v>516</v></c><c r="D16" s="229" t="s"><v>961</v></c><c r="E16" s="229" t="str"><f t="shared" si="1"/><v>Emission reporting unit</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tr"><f t="shared" si="1"/><v>[t CO2]</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tr"><f t="shared" si="1"/><v>[t CO2eq]</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tr"><f t="shared" si="1"/><v>[t CO2/MWh]</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tr"><f t="shared" si="1"/><v>[t CO2eq/MWh]</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tr"><f t="shared" si="1"/><v>[MWh]</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tr"><f t="shared" si="1"/><v>[%]</v></c><c r="F22" s="229" t="s"><v>850</v></c><c r="G22" s="229" t="s"><v>850</v></c><c r="H22" s="229" t="s"><v>850</v></c><c r="I22" s="229" t="s"><v>850</v></c><c r="J22" s="229" t="s"><v>850</v></c><c r="K22" s="229"/><c r="L22" s="229"/></row><row r="23" spans="1:12" s="10" customFormat="1" ht="12" x14ac:dyDescent="0.25"><c r="A23" s="20" t="str"><f t="shared" si="0"/><v>Folha</v></c><c r="B23" s="229" t="s"><v>810</v></c><c r="C23" s="229" t="s"><v>809</v></c><c r="D23" s="229" t="s"><v>962</v></c><c r="E23" s="229" t="str"><f t="shared" si="1"/><v>Sheet</v></c><c r="F23" s="229" t="s"><v>808</v></c><c r="G23" s="229" t="s"><v>807</v></c><c r="H23" s="229" t="s"><v>806</v></c><c r="I23" s="229" t="s"><v>1172</v></c><c r="J23" s="229" t="s"><v>805</v></c><c r="K23" s="229"/><c r="L23" s="229"/></row><row r="24" spans="1:12" s="10" customFormat="1" ht="12" x14ac:dyDescent="0.25"><c r="A24" s="20" t="str"><f t="shared" si="0"/><v>Conteúdo</v></c><c r="B24" s="229" t="s"><v>804</v></c><c r="C24" s="229" t="s"><v>803</v></c><c r="D24" s="229" t="s"><v>963</v></c><c r="E24" s="229" t="str"><f t="shared" si="1"/><v>Contents</v></c><c r="F24" s="229" t="s"><v>802</v></c><c r="G24" s="229" t="s"><v>801</v></c><c r="H24" s="229" t="s"><v>800</v></c><c r="I24" s="229" t="s"><v>1173</v></c><c r="J24" s="229" t="s"><v>799</v></c><c r="K24" s="229"/><c r="L24" s="229"/></row><row r="25" spans="1:12" s="10" customFormat="1" ht="24" x14ac:dyDescent="0.25"><c r="A25" s="20" t="str"><f t="shared" si="0"/><v>Tem por objectivo permitir a tradução das tabelas.</v></c><c r="B25" s="229" t="s"><v>798</v></c><c r="C25" s="229" t="s"><v>797</v></c><c r="D25" s="229" t="s"><v>964</v></c><c r="E25" s="229" t="str"><f t="shared" si="1"/><v>Is intended to enable the translation of the tables.</v></c><c r="F25" s="229" t="s"><v>796</v></c><c r="G25" s="229" t="s"><v>1363</v></c><c r="H25" s="229" t="s"><v>795</v></c><c r="I25" s="229" t="s"><v>1174</v></c><c r="J25" s="229" t="s"><v>794</v></c><c r="K25" s="229"/><c r="L25" s="229"/></row><row r="26" spans="1:12" s="10" customFormat="1" ht="24" x14ac:dyDescent="0.25"><c r="A26" s="20" t="str"><f t="shared" si="0"/><v>Para inserir os factores de emissão de CO2 para o cálculo das emissões.</v></c><c r="B26" s="229" t="s"><v>854</v></c><c r="C26" s="229" t="s"><v>855</v></c><c r="D26" s="229" t="s"><v>965</v></c><c r="E26" s="229" t="str"><f t="shared" si="1"/><v>To insert CO2 emission factors for calculating emissions.</v></c><c r="F26" s="229" t="s"><v>793</v></c><c r="G26" s="229" t="s"><v>1364</v></c><c r="H26" s="229" t="s"><v>792</v></c><c r="I26" s="229" t="s"><v>1175</v></c><c r="J26" s="229" t="s"><v>791</v></c><c r="K26" s="229"/><c r="L26" s="229"/></row><row r="27" spans="1:12" s="10" customFormat="1" ht="36" x14ac:dyDescent="0.25"><c r="A27" s="20" t="str"><f t="shared" si="0"/><v>Para establecer as metas do ISEAP, a visão a longo prazo e os aspectos oganizacionais e de financiamento.</v></c><c r="B27" s="229" t="s"><v>856</v></c><c r="C27" s="229" t="s"><v>857</v></c><c r="D27" s="229" t="s"><v>966</v></c><c r="E27" s="229" t="str"><f t="shared" si="1"/><v>To establish ISEAP targets, long-term vision and organizational and financial aspects.</v></c><c r="F27" s="229" t="s"><v>915</v></c><c r="G27" s="229" t="s"><v>1365</v></c><c r="H27" s="229" t="s"><v>1126</v></c><c r="I27" s="229" t="s"><v>1176</v></c><c r="J27" s="229" t="s"><v>1432</v></c><c r="K27" s="229"/><c r="L27" s="229"/></row><row r="28" spans="1:12" s="10" customFormat="1" ht="25.5" x14ac:dyDescent="0.25"><c r="A28" s="20" t="str"><f t="shared" si="0"/><v>Para apresentar o balanço energético do ano base e o inventário de emissões de CO2.</v></c><c r="B28" s="229" t="s"><v>859</v></c><c r="C28" s="229" t="s"><v>858</v></c><c r="D28" s="229" t="s"><v>967</v></c><c r="E28" s="229" t="str"><f t="shared" si="1"/><v>To present the baseline energy balance and CO2 emissions inventory.</v></c><c r="F28" s="229" t="s"><v>916</v></c><c r="G28" s="229" t="s"><v>1366</v></c><c r="H28" s="229" t="s"><v>1127</v></c><c r="I28" s="229" t="s"><v>1177</v></c><c r="J28" s="229" t="s"><v>1433</v></c><c r="K28" s="229"/><c r="L28" s="229"/></row><row r="29" spans="1:12" s="10" customFormat="1" ht="25.5" x14ac:dyDescent="0.25"><c r="A29" s="20" t="str"><f t="shared" si="0"/><v>Para apresentar o balanço energético do plano em 2020 e o inventário de emissões de CO2.</v></c><c r="B29" s="229" t="s"><v>860</v></c><c r="C29" s="229" t="s"><v>861</v></c><c r="D29" s="229" t="s"><v>968</v></c><c r="E29" s="229" t="str"><f t="shared" si="1"/><v>To present the plan energy balance in 2020 and CO2 emissions inventory.</v></c><c r="F29" s="229" t="s"><v>917</v></c><c r="G29" s="229" t="s"><v>1367</v></c><c r="H29" s="229" t="s"><v>1128</v></c><c r="I29" s="229" t="s"><v>1178</v></c><c r="J29" s="229" t="s"><v>1434</v></c><c r="K29" s="229"/><c r="L29" s="229"/></row><row r="30" spans="1:12" s="10" customFormat="1" ht="36" x14ac:dyDescent="0.25"><c r="A30" s="20" t="str"><f t="shared" si="0"/><v>Para apresentar a lista das acções para a energia sustentável, os investimentos e a redução das emissões de CO2.</v></c><c r="B30" s="229" t="s"><v>862</v></c><c r="C30" s="229" t="s"><v>863</v></c><c r="D30" s="229" t="s"><v>969</v></c><c r="E30" s="229" t="str"><f t="shared" si="1"/><v>To present the list of energy sustainable actions, the investment and reduction of CO2 emissions.</v></c><c r="F30" s="229" t="s"><v>918</v></c><c r="G30" s="229" t="s"><v>1368</v></c><c r="H30" s="229" t="s"><v>1129</v></c><c r="I30" s="229" t="s"><v>1179</v></c><c r="J30" s="229" t="s"><v>1435</v></c><c r="K30" s="229"/><c r="L30" s="229"/></row><row r="31" spans="1:12" s="10" customFormat="1" ht="24" x14ac:dyDescent="0.25"><c r="A31" s="20" t="str"><f t="shared" si="0"/><v>Plano de Acção para a Energia Sustentável nas Ilhas (PAES)</v></c><c r="B31" s="229" t="s"><v>92</v></c><c r="C31" s="229" t="s"><v>1499</v></c><c r="D31" s="229" t="s"><v>970</v></c><c r="E31" s="229" t="str"><f t="shared" si="1"/><v>Island  Sustainable Energy Action Plan (ISEAP)</v></c><c r="F31" s="229" t="s"><v>294</v></c><c r="G31" s="229" t="s"><v>1369</v></c><c r="H31" s="229" t="s"><v>175</v></c><c r="I31" s="229" t="s"><v>1180</v></c><c r="J31" s="229" t="s"><v>231</v></c><c r="K31" s="229"/><c r="L31" s="229"/></row><row r="32" spans="1:12" s="10" customFormat="1" ht="12" x14ac:dyDescent="0.25"><c r="A32" s="20" t="str"><f t="shared" si="0"/><v>Instruções</v></c><c r="B32" s="229" t="s"><v>1</v></c><c r="C32" s="229" t="s"><v>116</v></c><c r="D32" s="229" t="s"><v>971</v></c><c r="E32" s="229" t="str"><f t="shared" si="1"/><v>Instructions</v></c><c r="F32" s="229" t="s"><v>295</v></c><c r="G32" s="229" t="s"><v>144</v></c><c r="H32" s="229" t="s"><v>144</v></c><c r="I32" s="229" t="s"><v>1181</v></c><c r="J32" s="229" t="s"><v>232</v></c><c r="K32" s="229"/><c r="L32" s="229"/></row><row r="33" spans="1:12" s="10" customFormat="1" ht="12" x14ac:dyDescent="0.25"><c r="A33" s="20" t="str"><f t="shared" si="0"/><v>ESTRATÉGIA GLOBAL</v></c><c r="B33" s="229" t="s"><v>392</v></c><c r="C33" s="229" t="s"><v>409</v></c><c r="D33" s="229" t="s"><v>972</v></c><c r="E33" s="229" t="str"><f t="shared" si="1"/><v>OVERALL STRATEGY</v></c><c r="F33" s="229" t="s"><v>919</v></c><c r="G33" s="229" t="s"><v>1370</v></c><c r="H33" s="229" t="s"><v>1130</v></c><c r="I33" s="229" t="s"><v>1182</v></c><c r="J33" s="229" t="s"><v>1436</v></c><c r="K33" s="229"/><c r="L33" s="229"/></row><row r="34" spans="1:12" s="10" customFormat="1" ht="25.5" x14ac:dyDescent="0.25"><c r="A34" s="20" t="str"><f t="shared" si="0"/><v>META GLOBAL DE REDUÇÃO DAS EMISSÕES DE CO2 EM 2020</v></c><c r="B34" s="229" t="s"><v>897</v></c><c r="C34" s="229" t="s"><v>898</v></c><c r="D34" s="229" t="s"><v>973</v></c><c r="E34" s="229" t="str"><f t="shared" si="1"/><v>OVERALL CO2 EMISSION REDUCTION TARGET BY 2020</v></c><c r="F34" s="229" t="s"><v>920</v></c><c r="G34" s="229" t="s"><v>1371</v></c><c r="H34" s="229" t="s"><v>1131</v></c><c r="I34" s="229" t="s"><v>1183</v></c><c r="J34" s="229" t="s"><v>1437</v></c><c r="K34" s="229"/><c r="L34" s="229"/></row><row r="35" spans="1:12" s="10" customFormat="1" ht="12" x14ac:dyDescent="0.25"><c r="A35" s="20" t="str"><f t="shared" si="0"/><v>Por favor escolha a opção pretendida</v></c><c r="B35" s="229" t="s"><v>830</v></c><c r="C35" s="229" t="s"><v>831</v></c><c r="D35" s="229" t="s"><v>974</v></c><c r="E35" s="229" t="str"><f t="shared" si="1"/><v>Please select the corresponding box</v></c><c r="F35" s="229" t="s"><v>921</v></c><c r="G35" s="229" t="s"><v>1372</v></c><c r="H35" s="229" t="s"><v>1132</v></c><c r="I35" s="229" t="s"><v>1184</v></c><c r="J35" s="229" t="s"><v>1438</v></c><c r="K35" s="229"/><c r="L35" s="229"/></row><row r="36" spans="1:12" s="10" customFormat="1" ht="12" x14ac:dyDescent="0.25"><c r="A36" s="20" t="str"><f t="shared" si="0"/><v>Redução absoluta</v></c><c r="B36" s="229" t="s"><v>393</v></c><c r="C36" s="229" t="s"><v>507</v></c><c r="D36" s="229" t="s"><v>975</v></c><c r="E36" s="229" t="str"><f t="shared" si="1"/><v>Absolute reduction</v></c><c r="F36" s="229" t="s"><v>922</v></c><c r="G36" s="229" t="s"><v>1343</v></c><c r="H36" s="229" t="s"><v>1133</v></c><c r="I36" s="229" t="s"><v>1185</v></c><c r="J36" s="229" t="s"><v>1439</v></c><c r="K36" s="229"/><c r="L36" s="229"/></row><row r="37" spans="1:12" s="10" customFormat="1" ht="12" x14ac:dyDescent="0.25"><c r="A37" s="20" t="str"><f t="shared" si="0"/><v>ou</v></c><c r="B37" s="229" t="s"><v>864</v></c><c r="C37" s="229" t="s"><v>865</v></c><c r="D37" s="229" t="s"><v>976</v></c><c r="E37" s="229" t="str"><f t="shared" si="1"/><v>or</v></c><c r="F37" s="229" t="s"><v>923</v></c><c r="G37" s="229" t="s"><v>1134</v></c><c r="H37" s="229" t="s"><v>1134</v></c><c r="I37" s="229" t="s"><v>1186</v></c><c r="J37" s="229" t="s"><v>1440</v></c><c r="K37" s="229"/><c r="L37" s="229"/></row><row r="38" spans="1:12" s="10" customFormat="1" ht="12" x14ac:dyDescent="0.25"><c r="A38" s="20" t="str"><f t="shared" si="0"/><v>Redução per capita</v></c><c r="B38" s="229" t="s"><v>394</v></c><c r="C38" s="229" t="s"><v>508</v></c><c r="D38" s="229" t="s"><v>977</v></c><c r="E38" s="229" t="str"><f t="shared" si="1"/><v>Per capita reduction</v></c><c r="F38" s="229" t="s"><v>924</v></c><c r="G38" s="229" t="s"><v>1344</v></c><c r="H38" s="229" t="s"><v>1135</v></c><c r="I38" s="229" t="s"><v>1187</v></c><c r="J38" s="229" t="s"><v>1441</v></c><c r="K38" s="229"/><c r="L38" s="229"/></row><row r="39" spans="1:12" s="10" customFormat="1" ht="12" x14ac:dyDescent="0.25"><c r="A39" s="20" t="str"><f t="shared" si="0"/><v>Meta não atingida</v></c><c r="B39" s="229" t="s"><v>866</v></c><c r="C39" s="229" t="s"><v>867</v></c><c r="D39" s="229" t="s"><v>978</v></c><c r="E39" s="229" t="str"><f t="shared" si="1"/><v>Target not achieved</v></c><c r="F39" s="229" t="s"><v>925</v></c><c r="G39" s="229" t="s"><v>1373</v></c><c r="H39" s="229" t="s"><v>1136</v></c><c r="I39" s="229" t="s"><v>1188</v></c><c r="J39" s="229" t="s"><v>1442</v></c><c r="K39" s="229"/><c r="L39" s="229"/></row><row r="40" spans="1:12" s="10" customFormat="1" ht="48" x14ac:dyDescent="0.25"><c r="A40" s="20" t="str"><f t="shared" si="0"/><v>VISÃO A LONGO PRAZO DA AUTORIDADE LOCAL (incluir áreas prioritária, principais tendências e desafios)</v></c><c r="B40" s="229" t="s"><v>899</v></c><c r="C40" s="229" t="s"><v>900</v></c><c r="D40" s="229" t="s"><v>979</v></c><c r="E40" s="229" t="str"><f t="shared" si="1"/><v>LONG-TERM VISION OF YOUR LOCAL AUTHORITY (please include priority areas, main trends and challenges)</v></c><c r="F40" s="229" t="s"><v>926</v></c><c r="G40" s="229" t="s"><v>1374</v></c><c r="H40" s="229" t="s"><v>1137</v></c><c r="I40" s="229" t="s"><v>1189</v></c><c r="J40" s="229" t="s"><v>1443</v></c><c r="K40" s="229"/><c r="L40" s="229"/></row><row r="41" spans="1:12" s="10" customFormat="1" ht="12" x14ac:dyDescent="0.25"><c r="A41" s="20" t="str"><f t="shared" si="0"/><v>ASPECTOS ORGANIZACIONAIS E FINANCEIROS</v></c><c r="B41" s="229" t="s"><v>901</v></c><c r="C41" s="229" t="s"><v>902</v></c><c r="D41" s="229" t="s"><v>980</v></c><c r="E41" s="229" t="str"><f t="shared" si="1"/><v>ORGANISATIONAL AND FINANCIAL ASPECTS</v></c><c r="F41" s="229" t="s"><v>927</v></c><c r="G41" s="229" t="s"><v>1345</v></c><c r="H41" s="229" t="s"><v>1138</v></c><c r="I41" s="229" t="s"><v>1190</v></c><c r="J41" s="229" t="s"><v>1444</v></c><c r="K41" s="229"/><c r="L41" s="229"/></row><row r="42" spans="1:12" s="10" customFormat="1" ht="24" x14ac:dyDescent="0.25"><c r="A42" s="20" t="str"><f t="shared" si="0"/><v>Estruturas de coordenação e organização criadas/designadas</v></c><c r="B42" s="229" t="s"><v>395</v></c><c r="C42" s="229" t="s"><v>509</v></c><c r="D42" s="229" t="s"><v>981</v></c><c r="E42" s="229" t="str"><f t="shared" si="1"/><v>Coordination and organisational structures created/assigned</v></c><c r="F42" s="229" t="s"><v>928</v></c><c r="G42" s="229" t="s"><v>1346</v></c><c r="H42" s="229" t="s"><v>1139</v></c><c r="I42" s="229" t="s"><v>1191</v></c><c r="J42" s="229" t="s"><v>1445</v></c><c r="K42" s="229"/><c r="L42" s="229"/></row><row r="43" spans="1:12" s="10" customFormat="1" ht="12" x14ac:dyDescent="0.25"><c r="A43" s="20" t="str"><f t="shared" si="0"/><v>Meios humanos alocados</v></c><c r="B43" s="229" t="s"><v>396</v></c><c r="C43" s="229" t="s"><v>510</v></c><c r="D43" s="229" t="s"><v>982</v></c><c r="E43" s="229" t="str"><f t="shared" si="1"/><v>Staff capacity allocated</v></c><c r="F43" s="229" t="s"><v>929</v></c><c r="G43" s="229" t="s"><v>1347</v></c><c r="H43" s="229" t="s"><v>1140</v></c><c r="I43" s="229" t="s"><v>1192</v></c><c r="J43" s="229" t="s"><v>1446</v></c><c r="K43" s="229"/><c r="L43" s="229"/></row><row r="44" spans="1:12" s="10" customFormat="1" ht="24" x14ac:dyDescent="0.25"><c r="A44" s="20" t="str"><f t="shared" si="0"/><v>Envolvimento de partes interessadas e cidadãos</v></c><c r="B44" s="229" t="s"><v>397</v></c><c r="C44" s="229" t="s"><v>511</v></c><c r="D44" s="229" t="s"><v>983</v></c><c r="E44" s="229" t="str"><f t="shared" si="1"/><v>Involvement of stakeholders and citizens</v></c><c r="F44" s="229" t="s"><v>930</v></c><c r="G44" s="229" t="s"><v>1375</v></c><c r="H44" s="229" t="s"><v>1141</v></c><c r="I44" s="229" t="s"><v>1193</v></c><c r="J44" s="229" t="s"><v>1447</v></c><c r="K44" s="229"/><c r="L44" s="229"/></row><row r="45" spans="1:12" s="10" customFormat="1" ht="12" x14ac:dyDescent="0.25"><c r="A45" s="20" t="str"><f t="shared" si="0"/><v>Orçamento global estimado</v></c><c r="B45" s="229" t="s"><v>398</v></c><c r="C45" s="229" t="s"><v>512</v></c><c r="D45" s="229" t="s"><v>984</v></c><c r="E45" s="229" t="str"><f t="shared" si="1"/><v>Overall estimated budget</v></c><c r="F45" s="229" t="s"><v>931</v></c><c r="G45" s="229" t="s"><v>1376</v></c><c r="H45" s="229" t="s"><v>1142</v></c><c r="I45" s="229" t="s"><v>1194</v></c><c r="J45" s="229" t="s"><v>1448</v></c><c r="K45" s="229"/><c r="L45" s="229"/></row><row r="46" spans="1:12" s="10" customFormat="1" ht="24" x14ac:dyDescent="0.25"><c r="A46" s="20" t="str"><f t="shared" si="0"/><v>Fontes de financiamento previstas para os investimentos do plano de acção</v></c><c r="B46" s="229" t="s"><v>399</v></c><c r="C46" s="229" t="s"><v>513</v></c><c r="D46" s="229" t="s"><v>985</v></c><c r="E46" s="229" t="str"><f t="shared" si="1"/><v>Foreseen financing sources for the investments within your action plan</v></c><c r="F46" s="229" t="s"><v>932</v></c><c r="G46" s="229" t="s"><v>1377</v></c><c r="H46" s="229" t="s"><v>1143</v></c><c r="I46" s="229" t="s"><v>1195</v></c><c r="J46" s="229" t="s"><v>1449</v></c><c r="K46" s="229"/><c r="L46" s="229"/></row><row r="47" spans="1:12" s="10" customFormat="1" ht="24" x14ac:dyDescent="0.25"><c r="A47" s="20" t="str"><f t="shared" si="0"/><v>Medidas previstas de monitorização e acompanhamento</v></c><c r="B47" s="229" t="s"><v>400</v></c><c r="C47" s="229" t="s"><v>514</v></c><c r="D47" s="229" t="s"><v>986</v></c><c r="E47" s="229" t="str"><f t="shared" si="1"/><v>Planned measures for monitoring and follow up</v></c><c r="F47" s="229" t="s"><v>933</v></c><c r="G47" s="229" t="s"><v>1378</v></c><c r="H47" s="229" t="s"><v>1144</v></c><c r="I47" s="229" t="s"><v>1196</v></c><c r="J47" s="229" t="s"><v>1450</v></c><c r="K47" s="229"/><c r="L47" s="229"/></row><row r="48" spans="1:12" s="10" customFormat="1" ht="24" x14ac:dyDescent="0.25"><c r="A48" s="20" t="str"><f t="shared" si="0"/><v xml:space="preserve">Continue na próxima página dedicada ao Inventário de Emissões do ano Base </v></c><c r="B48" s="229" t="s"><v>903</v></c><c r="C48" s="229" t="s"><v>904</v></c><c r="D48" s="229" t="s"><v>987</v></c><c r="E48" s="229" t="str"><f t="shared" si="1"/><v xml:space="preserve">Go to the next sheet dedicated to your Baseline Emission Inventory </v></c><c r="F48" s="229" t="s"><v>934</v></c><c r="G48" s="229" t="s"><v>1379</v></c><c r="H48" s="229" t="s"><v>1145</v></c><c r="I48" s="229" t="s"><v>1197</v></c><c r="J48" s="229" t="s"><v>1451</v></c><c r="K48" s="229"/><c r="L48" s="229"/></row><row r="49" spans="1:12" s="10" customFormat="1" ht="12" x14ac:dyDescent="0.25"><c r="A49" s="20" t="str"><f t="shared" si="0"/><v>INVENTÁRIO DE EMISSÕES NO ANO BASE</v></c><c r="B49" s="229" t="s"><v>401</v></c><c r="C49" s="229" t="s"><v>517</v></c><c r="D49" s="229" t="s"><v>988</v></c><c r="E49" s="229" t="str"><f t="shared" si="1"/><v>BASELINE EMISSION INVENTORY</v></c><c r="F49" s="229" t="s"><v>935</v></c><c r="G49" s="229" t="s"><v>1380</v></c><c r="H49" s="229" t="s"><v>1146</v></c><c r="I49" s="229" t="s"><v>1198</v></c><c r="J49" s="229" t="s"><v>1452</v></c><c r="K49" s="229"/><c r="L49" s="229"/></row><row r="50" spans="1:12" s="10" customFormat="1" ht="12" x14ac:dyDescent="0.25"><c r="A50" s="20" t="str"><f t="shared" si="0"/><v>DADOS GERAIS</v></c><c r="B50" s="229" t="s"><v>832</v></c><c r="C50" s="229" t="s"><v>833</v></c><c r="D50" s="229" t="s"><v>989</v></c><c r="E50" s="229" t="str"><f t="shared" si="1"/><v>GENERAL DATA</v></c><c r="F50" s="229" t="s"><v>936</v></c><c r="G50" s="229" t="s"><v>1381</v></c><c r="H50" s="229" t="s"><v>1147</v></c><c r="I50" s="229" t="s"><v>1199</v></c><c r="J50" s="229" t="s"><v>1453</v></c><c r="K50" s="229"/><c r="L50" s="229"/></row><row r="51" spans="1:12" s="10" customFormat="1" ht="12" x14ac:dyDescent="0.25"><c r="A51" s="20" t="str"><f t="shared" si="0"/><v>Ano do inventário</v></c><c r="B51" s="229" t="s"><v>402</v></c><c r="C51" s="229" t="s"><v>515</v></c><c r="D51" s="229" t="s"><v>990</v></c><c r="E51" s="229" t="str"><f t="shared" si="1"/><v>Inventory year</v></c><c r="F51" s="229" t="s"><v>937</v></c><c r="G51" s="229" t="s"><v>1382</v></c><c r="H51" s="229" t="s"><v>1148</v></c><c r="I51" s="229" t="s"><v>1200</v></c><c r="J51" s="229" t="s"><v>1454</v></c><c r="K51" s="229"/><c r="L51" s="229"/></row><row r="52" spans="1:12" s="10" customFormat="1" ht="12" x14ac:dyDescent="0.25"><c r="A52" s="20" t="str"><f t="shared" si="0"/><v>Número de habitantes</v></c><c r="B52" s="229" t="s"><v>834</v></c><c r="C52" s="229" t="s"><v>835</v></c><c r="D52" s="229" t="s"><v>835</v></c><c r="E52" s="229" t="str"><f t="shared" si="1"/><v>Number of inhabitants</v></c><c r="F52" s="229" t="s"><v>938</v></c><c r="G52" s="229" t="s"><v>1383</v></c><c r="H52" s="229" t="s"><v>1149</v></c><c r="I52" s="229" t="s"><v>1201</v></c><c r="J52" s="229" t="s"><v>1455</v></c><c r="K52" s="229"/><c r="L52" s="229"/></row><row r="53" spans="1:12" s="10" customFormat="1" ht="12" x14ac:dyDescent="0.25"><c r="A53" s="20" t="str"><f t="shared" si="0"/><v>Campos obrigatórios</v></c><c r="B53" s="229" t="s"><v>95</v></c><c r="C53" s="229" t="s"><v>119</v></c><c r="D53" s="229" t="s"><v>991</v></c><c r="E53" s="229" t="str"><f t="shared" si="1"/><v>Mandatory fields</v></c><c r="F53" s="229" t="s"><v>298</v></c><c r="G53" s="229" t="s"><v>145</v></c><c r="H53" s="229" t="s"><v>178</v></c><c r="I53" s="229" t="s"><v>1202</v></c><c r="J53" s="229" t="s"><v>235</v></c><c r="K53" s="229"/><c r="L53" s="229"/></row><row r="54" spans="1:12" s="10" customFormat="1" ht="12" x14ac:dyDescent="0.25"><c r="A54" s="180" t="str"><f t="shared" si="0"/><v>RESULTADOS DO BALANÇO ENERGÉTICO</v></c><c r="B54" s="229" t="s"><v>849</v></c><c r="C54" s="229" t="s"><v>838</v></c><c r="D54" s="229" t="s"><v>992</v></c><c r="E54" s="229" t="str"><f t="shared" si="1"/><v>RESULTS OF ENERGY BALANCE</v></c><c r="F54" s="229" t="s"><v>939</v></c><c r="G54" s="229" t="s"><v>1348</v></c><c r="H54" s="229" t="s"><v>1150</v></c><c r="I54" s="229" t="s"><v>1203</v></c><c r="J54" s="229" t="s"><v>1456</v></c><c r="K54" s="229"/><c r="L54" s="229"/></row><row r="55" spans="1:12" s="11" customFormat="1" ht="12" x14ac:dyDescent="0.25"><c r="A55" s="180" t="str"><f t="shared" si="0"/><v>PROCURA DE ENERGIA FINAL</v></c><c r="B55" s="229" t="s"><v>764</v></c><c r="C55" s="229" t="s"><v>763</v></c><c r="D55" s="229" t="s"><v>993</v></c><c r="E55" s="229" t="str"><f t="shared" si="1"/><v>FINAL ENERGY DEMAND</v></c><c r="F55" s="229" t="s"><v>762</v></c><c r="G55" s="229" t="s"><v>761</v></c><c r="H55" s="229" t="s"><v>760</v></c><c r="I55" s="229" t="s"><v>1204</v></c><c r="J55" s="229" t="s"><v>759</v></c><c r="K55" s="229"/><c r="L55" s="229"/></row><row r="56" spans="1:12" s="11" customFormat="1" ht="12" x14ac:dyDescent="0.25"><c r="A56" s="180" t="str"><f t="shared" si="0"/><v>SECTOR DE PROCURA</v></c><c r="B56" s="229" t="s"><v>411</v></c><c r="C56" s="229" t="s"><v>412</v></c><c r="D56" s="229" t="s"><v>994</v></c><c r="E56" s="229" t="str"><f t="shared" si="1"/><v>DEMAND SECTOR</v></c><c r="F56" s="229" t="s"><v>413</v></c><c r="G56" s="229" t="s"><v>414</v></c><c r="H56" s="229" t="s"><v>415</v></c><c r="I56" s="229" t="s"><v>1205</v></c><c r="J56" s="229" t="s"><v>416</v></c><c r="K56" s="229"/><c r="L56" s="229"/></row><row r="57" spans="1:12" s="11" customFormat="1" ht="12" x14ac:dyDescent="0.25"><c r="A57" s="180" t="str"><f t="shared" si="0"/><v>DESCRIÇÃO DAS ACÇÕES A IMPLEMENTAR</v></c><c r="B57" s="229" t="s"><v>758</v></c><c r="C57" s="229" t="s"><v>757</v></c><c r="D57" s="229" t="s"><v>995</v></c><c r="E57" s="229" t="str"><f t="shared" si="1"/><v>DESCRIPTION OF ACTIONS TO IMPLEMENT</v></c><c r="F57" s="229" t="s"><v>756</v></c><c r="G57" s="229" t="s"><v>755</v></c><c r="H57" s="229" t="s"><v>754</v></c><c r="I57" s="229" t="s"><v>1206</v></c><c r="J57" s="229" t="s"><v>753</v></c><c r="K57" s="229"/><c r="L57" s="229"/></row><row r="58" spans="1:12" s="11" customFormat="1" ht="12" x14ac:dyDescent="0.25"><c r="A58" s="180" t="str"><f t="shared" si="0"/><v>Descrição do sector</v></c><c r="B58" s="229" t="s"><v>501</v></c><c r="C58" s="229" t="s"><v>502</v></c><c r="D58" s="229" t="s"><v>996</v></c><c r="E58" s="229" t="str"><f t="shared" si="1"/><v>Sector description</v></c><c r="F58" s="229" t="s"><v>503</v></c><c r="G58" s="229" t="s"><v>504</v></c><c r="H58" s="229" t="s"><v>505</v></c><c r="I58" s="229" t="s"><v>1207</v></c><c r="J58" s="229" t="s"><v>506</v></c><c r="K58" s="229"/><c r="L58" s="229"/></row><row r="59" spans="1:12" s="11" customFormat="1" ht="12" x14ac:dyDescent="0.25"><c r="A59" s="180" t="str"><f t="shared" si="0"/><v>Acções gerais</v></c><c r="B59" s="229" t="s"><v>1485</v></c><c r="C59" s="229" t="s"><v>1486</v></c><c r="D59" s="229" t="s"><v>1487</v></c><c r="E59" s="229" t="str"><f t="shared" si="1"/><v>Overall actions</v></c><c r="F59" s="229" t="s"><v>1492</v></c><c r="G59" s="229" t="s"><v>1491</v></c><c r="H59" s="229" t="s"><v>1490</v></c><c r="I59" s="229" t="s"><v>1488</v></c><c r="J59" s="229" t="s"><v>1489</v></c><c r="K59" s="229"/><c r="L59" s="229"/></row><row r="60" spans="1:12" s="10" customFormat="1" ht="12" x14ac:dyDescent="0.2"><c r="A60" s="180" t="str"><f t="shared" si="0"/><v>RESIDENCIAL</v></c><c r="B60" s="230" t="s"><v>868</v></c><c r="C60" s="230" t="s"><v>869</v></c><c r="D60" s="230" t="s"><v>869</v></c><c r="E60" s="230" t="str"><f t="shared" si="1"/><v>RESIDENTIAL</v></c><c r="F60" s="230" t="s"><v>870</v></c><c r="G60" s="230" t="s"><v>871</v></c><c r="H60" s="230" t="s"><v>872</v></c><c r="I60" s="230" t="s"><v>1208</v></c><c r="J60" s="230" t="s"><v>873</v></c><c r="K60" s="230"/><c r="L60" s="230"/></row><row r="61" spans="1:12" s="10" customFormat="1" ht="12" x14ac:dyDescent="0.25"><c r="A61" s="180" t="str"><f t="shared" si="0"/><v>Água quente</v></c><c r="B61" s="12" t="s"><v>26</v></c><c r="C61" s="12" t="s"><v>27</v></c><c r="D61" s="12" t="s"><v>997</v></c><c r="E61" s="12" t="str"><f t="shared" si="1"/><v>Hot water</v></c><c r="F61" s="12" t="s"><v>308</v></c><c r="G61" s="12" t="s"><v>150</v></c><c r="H61" s="12" t="s"><v>189</v></c><c r="I61" s="12" t="s"><v>1209</v></c><c r="J61" s="12" t="s"><v>249</v></c><c r="K61" s="12"/><c r="L61" s="12"/></row><row r="62" spans="1:12" s="10" customFormat="1" ht="12" x14ac:dyDescent="0.25"><c r="A62" s="180" t="str"><f t="shared" si="0"/><v>Aquecimento e arrefecimento</v></c><c r="B62" s="12" t="s"><v>28</v></c><c r="C62" s="12" t="s"><v>29</v></c><c r="D62" s="12" t="s"><v>998</v></c><c r="E62" s="12" t="str"><f t="shared" si="1"/><v>Heating and cooling</v></c><c r="F62" s="12" t="s"><v>309</v></c><c r="G62" s="12" t="s"><v>151</v></c><c r="H62" s="12" t="s"><v>752</v></c><c r="I62" s="12" t="s"><v>1210</v></c><c r="J62" s="12" t="s"><v>250</v></c><c r="K62" s="12"/><c r="L62" s="12"/></row><row r="63" spans="1:12" s="10" customFormat="1" ht="12" x14ac:dyDescent="0.25"><c r="A63" s="180" t="str"><f t="shared" si="0"/><v>Iluminação</v></c><c r="B63" s="12" t="s"><v>30</v></c><c r="C63" s="12" t="s"><v>31</v></c><c r="D63" s="12" t="s"><v>999</v></c><c r="E63" s="12" t="str"><f t="shared" si="1"/><v>Lighting</v></c><c r="F63" s="12" t="s"><v>751</v></c><c r="G63" s="12" t="s"><v>152</v></c><c r="H63" s="12" t="s"><v>152</v></c><c r="I63" s="12" t="s"><v>1211</v></c><c r="J63" s="12" t="s"><v>251</v></c><c r="K63" s="12"/><c r="L63" s="12"/></row><row r="64" spans="1:12" s="10" customFormat="1" ht="12" x14ac:dyDescent="0.25"><c r="A64" s="180" t="str"><f t="shared" si="0"/><v>Cozinha</v></c><c r="B64" s="12" t="s"><v>32</v></c><c r="C64" s="12" t="s"><v>33</v></c><c r="D64" s="12" t="s"><v>1000</v></c><c r="E64" s="12" t="str"><f t="shared" si="1"/><v>Cooking</v></c><c r="F64" s="12" t="s"><v>310</v></c><c r="G64" s="12" t="s"><v>153</v></c><c r="H64" s="12" t="s"><v>190</v></c><c r="I64" s="12" t="s"><v>1212</v></c><c r="J64" s="12" t="s"><v>252</v></c><c r="K64" s="12"/><c r="L64" s="12"/></row><row r="65" spans="1:12" s="10" customFormat="1" ht="12" x14ac:dyDescent="0.25"><c r="A65" s="180" t="str"><f t="shared" si="0"/><v>Frigoríficos e congeladores</v></c><c r="B65" s="12" t="s"><v>34</v></c><c r="C65" s="12" t="s"><v>35</v></c><c r="D65" s="12" t="s"><v>1001</v></c><c r="E65" s="12" t="str"><f t="shared" si="1"/><v>Refrigerator and freezers</v></c><c r="F65" s="12" t="s"><v>311</v></c><c r="G65" s="12" t="s"><v>750</v></c><c r="H65" s="12" t="s"><v>191</v></c><c r="I65" s="12" t="s"><v>1213</v></c><c r="J65" s="12" t="s"><v>749</v></c><c r="K65" s="12"/><c r="L65" s="12"/></row><row r="66" spans="1:12" s="10" customFormat="1" ht="12" x14ac:dyDescent="0.25"><c r="A66" s="180" t="str"><f t="shared" si="0"/><v>Máquinas de lavar e secar roupa</v></c><c r="B66" s="12" t="s"><v>36</v></c><c r="C66" s="12" t="s"><v>37</v></c><c r="D66" s="12" t="s"><v>1002</v></c><c r="E66" s="12" t="str"><f t="shared" si="1"/><v>Laundry machines and dryers</v></c><c r="F66" s="12" t="s"><v>312</v></c><c r="G66" s="12" t="s"><v>1384</v></c><c r="H66" s="12" t="s"><v>192</v></c><c r="I66" s="12" t="s"><v>1214</v></c><c r="J66" s="12" t="s"><v>253</v></c><c r="K66" s="12"/><c r="L66" s="12"/></row><row r="67" spans="1:12" s="10" customFormat="1" ht="12" x14ac:dyDescent="0.25"><c r="A67" s="180" t="str"><f t="shared" si="0"/><v>Máquinas de lavar louça</v></c><c r="B67" s="12" t="s"><v>38</v></c><c r="C67" s="12" t="s"><v>39</v></c><c r="D67" s="12" t="s"><v>1003</v></c><c r="E67" s="12" t="str"><f t="shared" si="1"/><v>Dish washing</v></c><c r="F67" s="12" t="s"><v>313</v></c><c r="G67" s="12" t="s"><v>748</v></c><c r="H67" s="12" t="s"><v>193</v></c><c r="I67" s="12" t="s"><v>1215</v></c><c r="J67" s="12" t="s"><v>254</v></c><c r="K67" s="12"/><c r="L67" s="12"/></row><row r="68" spans="1:12" s="10" customFormat="1" ht="12" x14ac:dyDescent="0.25"><c r="A68" s="180" t="str"><f t="shared" si="0"/><v>Televisores</v></c><c r="B68" s="12" t="s"><v>40</v></c><c r="C68" s="12" t="s"><v>41</v></c><c r="D68" s="12" t="s"><v>41</v></c><c r="E68" s="12" t="str"><f t="shared" si="1"/><v>Tv sets</v></c><c r="F68" s="12" t="s"><v>314</v></c><c r="G68" s="12" t="s"><v>747</v></c><c r="H68" s="12" t="s"><v>194</v></c><c r="I68" s="12" t="s"><v>1216</v></c><c r="J68" s="12" t="s"><v>255</v></c><c r="K68" s="12"/><c r="L68" s="12"/></row><row r="69" spans="1:12" s="10" customFormat="1" ht="12" x14ac:dyDescent="0.25"><c r="A69" s="180" t="str"><f t="shared" si="0"/><v>Outros aparelhos eléctricos</v></c><c r="B69" s="12" t="s"><v>42</v></c><c r="C69" s="12" t="s"><v>43</v></c><c r="D69" s="12" t="s"><v>1004</v></c><c r="E69" s="12" t="str"><f t="shared" si="1"/><v>Other electric appliances</v></c><c r="F69" s="12" t="s"><v>315</v></c><c r="G69" s="12" t="s"><v>746</v></c><c r="H69" s="12" t="s"><v>195</v></c><c r="I69" s="12" t="s"><v>1217</v></c><c r="J69" s="12" t="s"><v>256</v></c><c r="K69" s="12"/><c r="L69" s="12"/></row><row r="70" spans="1:12" s="10" customFormat="1" ht="12" x14ac:dyDescent="0.2"><c r="A70" s="180" t="str"><f t="shared" si="0"/><v>SECTOR PRIMÁRIO</v></c><c r="B70" s="181" t="s"><v>874</v></c><c r="C70" s="181" t="s"><v>875</v></c><c r="D70" s="181" t="s"><v>1005</v></c><c r="E70" s="181" t="str"><f t="shared" si="1"/><v>PRIMARY SECTOR</v></c><c r="F70" s="181" t="s"><v>876</v></c><c r="G70" s="181" t="s"><v>877</v></c><c r="H70" s="181" t="s"><v>878</v></c><c r="I70" s="181" t="s"><v>1218</v></c><c r="J70" s="181" t="s"><v>879</v></c><c r="K70" s="181"/><c r="L70" s="181"/></row><row r="71" spans="1:12" s="10" customFormat="1" ht="24" x14ac:dyDescent="0.25"><c r="A71" s="180" t="str"><f t="shared" si="0"/><v>Agricultura, produção animal, caça, floresta e pesca</v></c><c r="B71" s="9" t="s"><v>46</v></c><c r="C71" s="9" t="s"><v>47</v></c><c r="D71" s="9" t="s"><v>1006</v></c><c r="E71" s="9" t="str"><f t="shared" si="1"/><v>Agriculture, forestry and fishing</v></c><c r="F71" s="9" t="s"><v>316</v></c><c r="G71" s="9" t="s"><v>372</v></c><c r="H71" s="9" t="s"><v>196</v></c><c r="I71" s="9" t="s"><v>1219</v></c><c r="J71" s="9" t="s"><v>257</v></c><c r="K71" s="9"/><c r="L71" s="9"/></row><row r="72" spans="1:12" s="10" customFormat="1" ht="12" x14ac:dyDescent="0.25"><c r="A72" s="180" t="str"><f t="shared" si="0"/><v>Indústrias extractivas</v></c><c r="B72" s="9" t="s"><v>48</v></c><c r="C72" s="9" t="s"><v>49</v></c><c r="D72" s="9" t="s"><v>1007</v></c><c r="E72" s="9" t="str"><f t="shared" si="1"/><v>Mining and quarrying</v></c><c r="F72" s="9" t="s"><v>317</v></c><c r="G72" s="9" t="s"><v>373</v></c><c r="H72" s="9" t="s"><v>197</v></c><c r="I72" s="9" t="s"><v>1220</v></c><c r="J72" s="9" t="s"><v>258</v></c><c r="K72" s="9"/><c r="L72" s="9"/></row><row r="73" spans="1:12" s="10" customFormat="1" ht="12" x14ac:dyDescent="0.2"><c r="A73" s="180" t="str"><f t="shared" si="0"/><v>SECTOR SECUNDÁRIO</v></c><c r="B73" s="230" t="s"><v>880</v></c><c r="C73" s="230" t="s"><v>881</v></c><c r="D73" s="230" t="s"><v>1008</v></c><c r="E73" s="230" t="str"><f t="shared" ref="E73:E136" si="2">B73</f><v>SECONDARY SECTOR</v></c><c r="F73" s="230" t="s"><v>882</v></c><c r="G73" s="230" t="s"><v>883</v></c><c r="H73" s="230" t="s"><v>884</v></c><c r="I73" s="230" t="s"><v>1221</v></c><c r="J73" s="230" t="s"><v>885</v></c><c r="K73" s="230"/><c r="L73" s="230"/></row><row r="74" spans="1:12" s="10" customFormat="1" ht="12" x14ac:dyDescent="0.25"><c r="A74" s="180" t="str"><f t="shared" ref="A74:A136" si="3">IF($A$6=$B$6,B74,"")&amp;IF($A$6=$C$6,C74,"")&amp;IF($A$6=$D$6,D74,"")&amp;IF($A$6=$E$6,E74,"")&amp;IF($A$6=$F$6,F74,"")&amp;IF($A$6=$G$6,G74,"")&amp;IF($A$6=$H$6,H74,"")&amp;IF($A$6=$I$6,I74,"")&amp;IF($A$6=$J$6,J74,"")&amp;IF($A$6=$K$6,K74,"")&amp;IF($A$6=$L$6,L74,"")</f><v>Indústrias transformadoras</v></c><c r="B74" s="9" t="s"><v>50</v></c><c r="C74" s="9" t="s"><v>51</v></c><c r="D74" s="9" t="s"><v>1009</v></c><c r="E74" s="9" t="str"><f t="shared" si="2"/><v>Manufacturing</v></c><c r="F74" s="9" t="s"><v>318</v></c><c r="G74" s="9" t="s"><v>154</v></c><c r="H74" s="9" t="s"><v>745</v></c><c r="I74" s="9" t="s"><v>1222</v></c><c r="J74" s="9" t="s"><v>744</v></c><c r="K74" s="9"/><c r="L74" s="9"/></row><row r="75" spans="1:12" s="10" customFormat="1" ht="36" x14ac:dyDescent="0.25"><c r="A75" s="180" t="str"><f t="shared" si="3"/><v>Captação, tratamento e distribuição de água; saneamento, gestão de resíduos
e despoluição</v></c><c r="B75" s="9" t="s"><v>52</v></c><c r="C75" s="9" t="s"><v>743</v></c><c r="D75" s="9" t="s"><v>1010</v></c><c r="E75" s="9" t="str"><f t="shared" si="2"/><v>Water supply, sewerage, waste management and remediation activities</v></c><c r="F75" s="9" t="s"><v>319</v></c><c r="G75" s="9" t="s"><v>374</v></c><c r="H75" s="9" t="s"><v>742</v></c><c r="I75" s="9" t="s"><v>1223</v></c><c r="J75" s="9" t="s"><v>741</v></c><c r="K75" s="9"/><c r="L75" s="9"/></row><row r="76" spans="1:12" s="10" customFormat="1" ht="12" x14ac:dyDescent="0.25"><c r="A76" s="180" t="str"><f t="shared" si="3"/><v>Construção</v></c><c r="B76" s="9" t="s"><v>53</v></c><c r="C76" s="9" t="s"><v>54</v></c><c r="D76" s="9" t="s"><v>1011</v></c><c r="E76" s="9" t="str"><f t="shared" si="2"/><v>Construction</v></c><c r="F76" s="9" t="s"><v>320</v></c><c r="G76" s="9" t="s"><v>375</v></c><c r="H76" s="9" t="s"><v>198</v></c><c r="I76" s="9" t="s"><v>1224</v></c><c r="J76" s="9" t="s"><v>259</v></c><c r="K76" s="9"/><c r="L76" s="9"/></row><row r="77" spans="1:12" s="10" customFormat="1" ht="12" x14ac:dyDescent="0.2"><c r="A77" s="180" t="str"><f t="shared" si="3"/><v>SECTOR TERCIÁRIO</v></c><c r="B77" s="230" t="s"><v>886</v></c><c r="C77" s="230" t="s"><v>887</v></c><c r="D77" s="230" t="s"><v>1012</v></c><c r="E77" s="230" t="str"><f t="shared" si="2"/><v>TERTIARY SECTOR</v></c><c r="F77" s="230" t="s"><v>888</v></c><c r="G77" s="230" t="s"><v>889</v></c><c r="H77" s="230" t="s"><v>890</v></c><c r="I77" s="230" t="s"><v>1225</v></c><c r="J77" s="230" t="s"><v>891</v></c><c r="K77" s="230"/><c r="L77" s="230"/></row><row r="78" spans="1:12" s="10" customFormat="1" ht="24" x14ac:dyDescent="0.25"><c r="A78" s="180" t="str"><f t="shared" si="3"/><v>Comércio por grosso e a retalho; reparação de veículos automóveis e motociclos</v></c><c r="B78" s="9" t="s"><v>55</v></c><c r="C78" s="9" t="s"><v>56</v></c><c r="D78" s="9" t="s"><v>1013</v></c><c r="E78" s="9" t="str"><f t="shared" si="2"/><v xml:space="preserve">Wholesale and retail trade; repair of motor vehicles and motorcycles </v></c><c r="F78" s="9" t="s"><v>321</v></c><c r="G78" s="9" t="s"><v>376</v></c><c r="H78" s="9" t="s"><v>740</v></c><c r="I78" s="9" t="s"><v>1226</v></c><c r="J78" s="9" t="s"><v>739</v></c><c r="K78" s="9"/><c r="L78" s="9"/></row><row r="79" spans="1:12" s="10" customFormat="1" ht="24" x14ac:dyDescent="0.25"><c r="A79" s="180" t="str"><f t="shared" si="3"/><v>Alojamento, restauração e similares</v></c><c r="B79" s="9" t="s"><v>1431</v></c><c r="C79" s="9" t="s"><v>57</v></c><c r="D79" s="9" t="s"><v>1014</v></c><c r="E79" s="9" t="str"><f t="shared" si="2"/><v>Accommodation and food service activities</v></c><c r="F79" s="9" t="s"><v>322</v></c><c r="G79" s="9" t="s"><v>377</v></c><c r="H79" s="9" t="s"><v>738</v></c><c r="I79" s="9" t="s"><v>1227</v></c><c r="J79" s="9" t="s"><v>737</v></c><c r="K79" s="9"/><c r="L79" s="9"/></row><row r="80" spans="1:12" s="10" customFormat="1" ht="24" x14ac:dyDescent="0.25"><c r="A80" s="180" t="str"><f t="shared" si="3"/><v>Administração pública e segurança social</v></c><c r="B80" s="9" t="s"><v>58</v></c><c r="C80" s="9" t="s"><v>59</v></c><c r="D80" s="9" t="s"><v>1015</v></c><c r="E80" s="9" t="str"><f t="shared" si="2"/><v>General public administration and social security</v></c><c r="F80" s="9" t="s"><v>323</v></c><c r="G80" s="9" t="s"><v>378</v></c><c r="H80" s="9" t="s"><v>736</v></c><c r="I80" s="9" t="s"><v>1228</v></c><c r="J80" s="9" t="s"><v>735</v></c><c r="K80" s="9"/><c r="L80" s="9"/></row><row r="81" spans="1:12" s="10" customFormat="1" ht="24" x14ac:dyDescent="0.25"><c r="A81" s="180" t="str"><f t="shared" si="3"/><v>Defesa, justiça, polícia e bombeiros</v></c><c r="B81" s="9" t="s"><v>1463</v></c><c r="C81" s="9" t="s"><v>60</v></c><c r="D81" s="9" t="s"><v>1016</v></c><c r="E81" s="9" t="str"><f t="shared" si="2"/><v>Defence, justice, police and fire departments</v></c><c r="F81" s="9" t="s"><v>324</v></c><c r="G81" s="9" t="s"><v>155</v></c><c r="H81" s="9" t="s"><v>199</v></c><c r="I81" s="9" t="s"><v>1229</v></c><c r="J81" s="9" t="s"><v>734</v></c><c r="K81" s="9"/><c r="L81" s="9"/></row><row r="82" spans="1:12" s="10" customFormat="1" ht="12" x14ac:dyDescent="0.25"><c r="A82" s="180" t="str"><f t="shared" si="3"/><v>Educação</v></c><c r="B82" s="9" t="s"><v>61</v></c><c r="C82" s="9" t="s"><v>62</v></c><c r="D82" s="9" t="s"><v>1017</v></c><c r="E82" s="9" t="str"><f t="shared" si="2"/><v>Education</v></c><c r="F82" s="9" t="s"><v>325</v></c><c r="G82" s="9" t="s"><v>156</v></c><c r="H82" s="9" t="s"><v>200</v></c><c r="I82" s="9" t="s"><v>1230</v></c><c r="J82" s="9" t="s"><v>260</v></c><c r="K82" s="9"/><c r="L82" s="9"/></row><row r="83" spans="1:12" s="11" customFormat="1" ht="24" x14ac:dyDescent="0.25"><c r="A83" s="180" t="str"><f t="shared" si="3"/><v>Actividades de saúde humana e apoio social</v></c><c r="B83" s="9" t="s"><v>63</v></c><c r="C83" s="9" t="s"><v>64</v></c><c r="D83" s="9" t="s"><v>1018</v></c><c r="E83" s="9" t="str"><f t="shared" si="2"/><v>Human health and social work activities</v></c><c r="F83" s="9" t="s"><v>326</v></c><c r="G83" s="9" t="s"><v>157</v></c><c r="H83" s="9" t="s"><v>201</v></c><c r="I83" s="9" t="s"><v>1231</v></c><c r="J83" s="9" t="s"><v>261</v></c><c r="K83" s="9"/><c r="L83" s="9"/></row><row r="84" spans="1:12" s="10" customFormat="1" ht="12" x14ac:dyDescent="0.25"><c r="A84" s="180" t="str"><f t="shared" si="3"/><v>Outros serviços</v></c><c r="B84" s="9" t="s"><v>65</v></c><c r="C84" s="9" t="s"><v>66</v></c><c r="D84" s="9" t="s"><v>1019</v></c><c r="E84" s="9" t="str"><f t="shared" si="2"/><v>Other services</v></c><c r="F84" s="9" t="s"><v>327</v></c><c r="G84" s="9" t="s"><v>733</v></c><c r="H84" s="9" t="s"><v>732</v></c><c r="I84" s="9" t="s"><v>1232</v></c><c r="J84" s="9" t="s"><v>262</v></c><c r="K84" s="9"/><c r="L84" s="9"/></row><row r="85" spans="1:12" s="10" customFormat="1" ht="12" x14ac:dyDescent="0.25"><c r="A85" s="180" t="str"><f t="shared" si="3"/><v>Iluminação pública</v></c><c r="B85" s="9" t="s"><v>44</v></c><c r="C85" s="9" t="s"><v>45</v></c><c r="D85" s="9" t="s"><v>1020</v></c><c r="E85" s="9" t="str"><f t="shared" si="2"/><v>Public lighting</v></c><c r="F85" s="9" t="s"><v>731</v></c><c r="G85" s="9" t="s"><v>730</v></c><c r="H85" s="9" t="s"><v>158</v></c><c r="I85" s="9" t="s"><v>1233</v></c><c r="J85" s="9" t="s"><v>263</v></c><c r="K85" s="9"/><c r="L85" s="9"/></row><row r="86" spans="1:12" s="10" customFormat="1" ht="12" x14ac:dyDescent="0.2"><c r="A86" s="180" t="str"><f t="shared" si="3"/><v>TRANSPORTES</v></c><c r="B86" s="230" t="s"><v>892</v></c><c r="C86" s="230" t="s"><v>893</v></c><c r="D86" s="230" t="s"><v>893</v></c><c r="E86" s="230" t="str"><f t="shared" si="2"/><v>TRANSPORTS</v></c><c r="F86" s="230" t="s"><v>894</v></c><c r="G86" s="230" t="s"><v>895</v></c><c r="H86" s="230" t="s"><v>896</v></c><c r="I86" s="230" t="s"><v>1234</v></c><c r="J86" s="230" t="s"><v>896</v></c><c r="K86" s="230"/><c r="L86" s="230"/></row><row r="87" spans="1:12" s="10" customFormat="1" ht="36" x14ac:dyDescent="0.25"><c r="A87" s="201" t="str"><f t="shared" si="3"/><v>Transporte de passageiros por estrada (transportes públicos, táxis, turismo, transporte escolar, etc.)</v></c><c r="B87" s="9" t="s"><v>1429</v></c><c r="C87" s="9" t="s"><v>1430</v></c><c r="D87" s="9" t="s"><v>1021</v></c><c r="E87" s="9" t="str"><f t="shared" si="2"/><v>Passenger road transport (public transports, taxi, tourism, school buses, etc.)</v></c><c r="F87" s="9" t="s"><v>952</v></c><c r="G87" s="9" t="s"><v>1385</v></c><c r="H87" s="9" t="s"><v>1151</v></c><c r="I87" s="9" t="s"><v>1235</v></c><c r="J87" s="9" t="s"><v>949</v></c><c r="K87" s="9"/><c r="L87" s="9"/></row><row r="88" spans="1:12" s="10" customFormat="1" ht="24" x14ac:dyDescent="0.25"><c r="A88" s="201" t="str"><f t="shared" si="3"/><v>Transporte de mercadorias por estrada e serviços de mudanças</v></c><c r="B88" s="9" t="s"><v>68</v></c><c r="C88" s="9" t="s"><v>69</v></c><c r="D88" s="9" t="s"><v>1023</v></c><c r="E88" s="9" t="str"><f t="shared" si="2"/><v>Freight transport by road and removal services</v></c><c r="F88" s="9" t="s"><v>328</v></c><c r="G88" s="9" t="s"><v>1349</v></c><c r="H88" s="9" t="s"><v>202</v></c><c r="I88" s="9" t="s"><v>1236</v></c><c r="J88" s="9" t="s"><v>729</v></c><c r="K88" s="9"/><c r="L88" s="9"/></row><row r="89" spans="1:12" s="10" customFormat="1" ht="24" x14ac:dyDescent="0.25"><c r="A89" s="201" t="str"><f t="shared" si="3"/><v>Outras frotas de serviços públicos e privados</v></c><c r="B89" s="9" t="s"><v>947</v></c><c r="C89" s="9" t="s"><v>1484</v></c><c r="D89" s="9" t="s"><v>1022</v></c><c r="E89" s="9" t="str"><f t="shared" si="2"/><v>Other fleet for public and private services</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Transporte particular</v></c><c r="B90" s="9" t="s"><v>67</v></c><c r="C90" s="9" t="s"><v>948</v></c><c r="D90" s="9" t="s"><v>1024</v></c><c r="E90" s="9" t="str"><f t="shared" si="2"/><v>Private transports</v></c><c r="F90" s="9" t="s"><v>954</v></c><c r="G90" s="9" t="s"><v>159</v></c><c r="H90" s="9" t="s"><v>203</v></c><c r="I90" s="9" t="s"><v>1238</v></c><c r="J90" s="9" t="s"><v>264</v></c><c r="K90" s="9"/><c r="L90" s="9"/></row><row r="91" spans="1:12" s="10" customFormat="1" ht="36" x14ac:dyDescent="0.25"><c r="A91" s="180" t="str"><f t="shared" si="3"/><v>Reexportação (navios, aviões, zonas francas industriais, bases militares nacionais ou internacionais, etc.)</v></c><c r="B91" s="9" t="s"><v>728</v></c><c r="C91" s="9" t="s"><v>727</v></c><c r="D91" s="9" t="s"><v>1025</v></c><c r="E91" s="9" t="str"><f t="shared" si="2"/><v>Reexportation (ships, airplanes, industrial free zones, national and international militar installations, etc.)</v></c><c r="F91" s="9" t="s"><v>726</v></c><c r="G91" s="9" t="s"><v>1387</v></c><c r="H91" s="9" t="s"><v>725</v></c><c r="I91" s="9" t="s"><v>1239</v></c><c r="J91" s="9" t="s"><v>724</v></c><c r="K91" s="9"/><c r="L91" s="9"/></row><row r="92" spans="1:12" s="10" customFormat="1" ht="36" x14ac:dyDescent="0.25"><c r="A92" s="180" t="str"><f t="shared" si="3"/><v>Actividades consumidoras intensivas de energia para exportação (para excluir do balanço energético da ilha)</v></c><c r="B92" s="9" t="s"><v>723</v></c><c r="C92" s="9" t="s"><v>722</v></c><c r="D92" s="9" t="s"><v>1026</v></c><c r="E92" s="9" t="str"><f t="shared" si="2"/><v>Activities with intensive use of energy for exportation (to exclude in the island energy balance)</v></c><c r="F92" s="9" t="s"><v>721</v></c><c r="G92" s="9" t="s"><v>1388</v></c><c r="H92" s="9" t="s"><v>720</v></c><c r="I92" s="9" t="s"><v>1240</v></c><c r="J92" s="9" t="s"><v>719</v></c><c r="K92" s="9"/><c r="L92" s="9"/></row><row r="93" spans="1:12" s="10" customFormat="1" ht="24" x14ac:dyDescent="0.25"><c r="A93" s="180" t="str"><f t="shared" si="3"/><v>Outros (para excluir do balanço energético da ilha)</v></c><c r="B93" s="9" t="s"><v>718</v></c><c r="C93" s="9" t="s"><v>717</v></c><c r="D93" s="9" t="s"><v>1027</v></c><c r="E93" s="9" t="str"><f t="shared" si="2"/><v>Other (to exclude in the island energy balance)</v></c><c r="F93" s="9" t="s"><v>716</v></c><c r="G93" s="9" t="s"><v>1389</v></c><c r="H93" s="9" t="s"><v>715</v></c><c r="I93" s="9" t="s"><v>1241</v></c><c r="J93" s="9" t="s"><v>714</v></c><c r="K93" s="9"/><c r="L93" s="9"/></row><row r="94" spans="1:12" s="10" customFormat="1" ht="12" x14ac:dyDescent="0.25"><c r="A94" s="180" t="str"><f t="shared" si="3"/><v>ENERGIA PARA CONSUMO FINAL</v></c><c r="B94" s="229" t="s"><v>421</v></c><c r="C94" s="229" t="s"><v>422</v></c><c r="D94" s="229" t="s"><v>1028</v></c><c r="E94" s="229" t="str"><f t="shared" si="2"/><v>ENERGY FOR FINAL USE</v></c><c r="F94" s="229" t="s"><v>423</v></c><c r="G94" s="229" t="s"><v>424</v></c><c r="H94" s="229" t="s"><v>425</v></c><c r="I94" s="229" t="s"><v>1242</v></c><c r="J94" s="229" t="s"><v>426</v></c><c r="K94" s="229"/><c r="L94" s="229"/></row><row r="95" spans="1:12" s="10" customFormat="1" ht="12" x14ac:dyDescent="0.25"><c r="A95" s="180" t="str"><f t="shared" si="3"/><v>Serviços energéticos centralizados</v></c><c r="B95" s="229" t="s"><v>427</v></c><c r="C95" s="229" t="s"><v>428</v></c><c r="D95" s="229" t="s"><v>1029</v></c><c r="E95" s="229" t="str"><f t="shared" si="2"/><v>Centralized energy services</v></c><c r="F95" s="229" t="s"><v>429</v></c><c r="G95" s="229" t="s"><v>1390</v></c><c r="H95" s="229" t="s"><v>430</v></c><c r="I95" s="229" t="s"><v>1243</v></c><c r="J95" s="229" t="s"><v>431</v></c><c r="K95" s="229"/><c r="L95" s="229"/></row><row r="96" spans="1:12" s="10" customFormat="1" ht="12" x14ac:dyDescent="0.25"><c r="A96" s="180" t="str"><f t="shared" si="3"/><v>Electricidade da rede pública</v></c><c r="B96" s="229" t="s"><v>432</v></c><c r="C96" s="229" t="s"><v>433</v></c><c r="D96" s="229" t="s"><v>1030</v></c><c r="E96" s="229" t="str"><f t="shared" si="2"/><v>Electricity from public grid</v></c><c r="F96" s="229" t="s"><v>434</v></c><c r="G96" s="229" t="s"><v>1391</v></c><c r="H96" s="229" t="s"><v>435</v></c><c r="I96" s="229" t="s"><v>1244</v></c><c r="J96" s="229" t="s"><v>436</v></c><c r="K96" s="229"/><c r="L96" s="229"/></row><row r="97" spans="1:12" s="10" customFormat="1" ht="12" x14ac:dyDescent="0.25"><c r="A97" s="180" t="str"><f t="shared" si="3"/><v>Calor de rede de pública</v></c><c r="B97" s="229" t="s"><v>437</v></c><c r="C97" s="229" t="s"><v>438</v></c><c r="D97" s="229" t="s"><v>1031</v></c><c r="E97" s="229" t="str"><f t="shared" si="2"/><v>Heat from district heating</v></c><c r="F97" s="229" t="s"><v>439</v></c><c r="G97" s="229" t="s"><v>440</v></c><c r="H97" s="229" t="s"><v>441</v></c><c r="I97" s="229" t="s"><v>1245</v></c><c r="J97" s="229" t="s"><v>442</v></c><c r="K97" s="229"/><c r="L97" s="229"/></row><row r="98" spans="1:12" s="10" customFormat="1" ht="12" x14ac:dyDescent="0.25"><c r="A98" s="20" t="str"><f t="shared" si="3"/><v>Frio de rede pública</v></c><c r="B98" s="229" t="s"><v>443</v></c><c r="C98" s="229" t="s"><v>444</v></c><c r="D98" s="229" t="s"><v>1032</v></c><c r="E98" s="229" t="str"><f t="shared" si="2"/><v>Cold from district cooling</v></c><c r="F98" s="229" t="s"><v>445</v></c><c r="G98" s="229" t="s"><v>446</v></c><c r="H98" s="229" t="s"><v>447</v></c><c r="I98" s="229" t="s"><v>1246</v></c><c r="J98" s="229" t="s"><v>448</v></c><c r="K98" s="229"/><c r="L98" s="229"/></row><row r="99" spans="1:12" s="10" customFormat="1" ht="12" x14ac:dyDescent="0.25"><c r="A99" s="20" t="str"><f t="shared" si="3"/><v>Combustíveis fósseis</v></c><c r="B99" s="229" t="s"><v>404</v></c><c r="C99" s="229" t="s"><v>449</v></c><c r="D99" s="229" t="s"><v>1033</v></c><c r="E99" s="229" t="str"><f t="shared" si="2"/><v>Fossil fuels</v></c><c r="F99" s="229" t="s"><v>450</v></c><c r="G99" s="229" t="s"><v>451</v></c><c r="H99" s="229" t="s"><v>452</v></c><c r="I99" s="229" t="s"><v>1247</v></c><c r="J99" s="229" t="s"><v>453</v></c><c r="K99" s="229"/><c r="L99" s="229"/></row><row r="100" spans="1:12" s="10" customFormat="1" ht="12" x14ac:dyDescent="0.25"><c r="A100" s="20" t="str"><f t="shared" si="3"/><v>Fuelóleo</v></c><c r="B100" s="9" t="s"><v>454</v></c><c r="C100" s="9" t="s"><v>455</v></c><c r="D100" s="9" t="s"><v>454</v></c><c r="E100" s="9" t="str"><f t="shared" si="2"/><v>Fueloil</v></c><c r="F100" s="9" t="s"><v>456</v></c><c r="G100" s="9" t="s"><v>457</v></c><c r="H100" s="9" t="s"><v>458</v></c><c r="I100" s="9" t="s"><v>1248</v></c><c r="J100" s="9" t="s"><v>459</v></c><c r="K100" s="9"/><c r="L100" s="9"/></row><row r="101" spans="1:12" s="10" customFormat="1" ht="12" x14ac:dyDescent="0.25"><c r="A101" s="20" t="str"><f t="shared" si="3"/><v>Gasóleo</v></c><c r="B101" s="9" t="s"><v>406</v></c><c r="C101" s="9" t="s"><v>460</v></c><c r="D101" s="9" t="s"><v>406</v></c><c r="E101" s="9" t="str"><f t="shared" si="2"/><v>Diesel</v></c><c r="F101" s="9" t="s"><v>461</v></c><c r="G101" s="9" t="s"><v>406</v></c><c r="H101" s="9" t="s"><v>406</v></c><c r="I101" s="9" t="s"><v>406</v></c><c r="J101" s="9" t="s"><v>462</v></c><c r="K101" s="9"/><c r="L101" s="9"/></row><row r="102" spans="1:12" s="10" customFormat="1" ht="12" x14ac:dyDescent="0.25"><c r="A102" s="20" t="str"><f t="shared" si="3"/><v>Gasolina</v></c><c r="B102" s="9" t="s"><v>407</v></c><c r="C102" s="9" t="s"><v>463</v></c><c r="D102" s="9" t="s"><v>463</v></c><c r="E102" s="9" t="str"><f t="shared" si="2"/><v>Gasoline</v></c><c r="F102" s="9" t="s"><v>464</v></c><c r="G102" s="9" t="s"><v>465</v></c><c r="H102" s="9" t="s"><v>466</v></c><c r="I102" s="9" t="s"><v>1249</v></c><c r="J102" s="9" t="s"><v>467</v></c><c r="K102" s="9"/><c r="L102" s="9"/></row><row r="103" spans="1:12" s="10" customFormat="1" ht="12" x14ac:dyDescent="0.25"><c r="A103" s="20" t="str"><f t="shared" si="3"/><v>GPL</v></c><c r="B103" s="9" t="s"><v>468</v></c><c r="C103" s="9" t="s"><v>469</v></c><c r="D103" s="9" t="s"><v>1034</v></c><c r="E103" s="9" t="str"><f t="shared" si="2"/><v>LPG</v></c><c r="F103" s="9" t="s"><v>470</v></c><c r="G103" s="9" t="s"><v>468</v></c><c r="H103" s="9" t="s"><v>468</v></c><c r="I103" s="9" t="s"><v>469</v></c><c r="J103" s="9" t="s"><v>471</v></c><c r="K103" s="9"/><c r="L103" s="9"/></row><row r="104" spans="1:12" s="10" customFormat="1" ht="12" x14ac:dyDescent="0.25"><c r="A104" s="20" t="str"><f t="shared" si="3"/><v>Gás natural</v></c><c r="B104" s="9" t="s"><v>405</v></c><c r="C104" s="9" t="s"><v>472</v></c><c r="D104" s="9" t="s"><v>1035</v></c><c r="E104" s="9" t="str"><f t="shared" si="2"/><v>Natural gas</v></c><c r="F104" s="9" t="s"><v>473</v></c><c r="G104" s="9" t="s"><v>474</v></c><c r="H104" s="9" t="s"><v>474</v></c><c r="I104" s="9" t="s"><v>1250</v></c><c r="J104" s="9" t="s"><v>475</v></c><c r="K104" s="9"/><c r="L104" s="9"/></row><row r="105" spans="1:12" s="10" customFormat="1" ht="12" x14ac:dyDescent="0.25"><c r="A105" s="20" t="str"><f t="shared" si="3"/><v>Carvão</v></c><c r="B105" s="9" t="s"><v>408</v></c><c r="C105" s="9" t="s"><v>476</v></c><c r="D105" s="9" t="s"><v>1036</v></c><c r="E105" s="9" t="str"><f t="shared" si="2"/><v>Coal</v></c><c r="F105" s="9" t="s"><v>477</v></c><c r="G105" s="9" t="s"><v>478</v></c><c r="H105" s="9" t="s"><v>479</v></c><c r="I105" s="9" t="s"><v>1251</v></c><c r="J105" s="9" t="s"><v>480</v></c><c r="K105" s="9"/><c r="L105" s="9"/></row><row r="106" spans="1:12" s="10" customFormat="1" ht="36" x14ac:dyDescent="0.25"><c r="A106" s="20" t="str"><f t="shared" si="3"/><v>Fontes energéticas renováveis (excluindo electricidade e calor para venda a redes públicas)</v></c><c r="B106" s="231" t="s"><v>481</v></c><c r="C106" s="231" t="s"><v>482</v></c><c r="D106" s="231" t="s"><v>1037</v></c><c r="E106" s="231" t="str"><f t="shared" si="2"/><v>Renewable energy sources (excluding electricity and heat sold to public networks)</v></c><c r="F106" s="231" t="s"><v>483</v></c><c r="G106" s="231" t="s"><v>1392</v></c><c r="H106" s="231" t="s"><v>484</v></c><c r="I106" s="231" t="s"><v>1252</v></c><c r="J106" s="231" t="s"><v>485</v></c><c r="K106" s="231"/><c r="L106" s="231"/></row><row r="107" spans="1:12" s="10" customFormat="1" ht="24" x14ac:dyDescent="0.25"><c r="A107" s="20" t="str"><f t="shared" si="3"/><v>Fontes energéticas renováveis (de sistemas ligados a redes públicas)</v></c><c r="B107" s="231" t="s"><v>713</v></c><c r="C107" s="231" t="s"><v>712</v></c><c r="D107" s="231" t="s"><v>1038</v></c><c r="E107" s="231" t="str"><f t="shared" si="2"/><v>Renewable energy sources (from systems connected to public networks)</v></c><c r="F107" s="231" t="s"><v>711</v></c><c r="G107" s="231" t="s"><v>1393</v></c><c r="H107" s="231" t="s"><v>710</v></c><c r="I107" s="231" t="s"><v>1253</v></c><c r="J107" s="231" t="s"><v>709</v></c><c r="K107" s="231"/><c r="L107" s="231"/></row><row r="108" spans="1:12" s="10" customFormat="1" ht="12" x14ac:dyDescent="0.25"><c r="A108" s="20" t="str"><f t="shared" si="3"/><v>Fontes energéticas renováveis</v></c><c r="B108" s="229" t="s"><v>708</v></c><c r="C108" s="229" t="s"><v>707</v></c><c r="D108" s="229" t="s"><v>1039</v></c><c r="E108" s="229" t="str"><f t="shared" si="2"/><v>Renewable energy sources</v></c><c r="F108" s="229" t="s"><v>706</v></c><c r="G108" s="229" t="s"><v>1394</v></c><c r="H108" s="229" t="s"><v>705</v></c><c r="I108" s="229" t="s"><v>1254</v></c><c r="J108" s="229" t="s"><v>704</v></c><c r="K108" s="229"/><c r="L108" s="229"/></row><row r="109" spans="1:12" s="10" customFormat="1" ht="12" x14ac:dyDescent="0.25"><c r="A109" s="20" t="str"><f t="shared" si="3"/><v>Hídrica</v></c><c r="B109" s="9" t="s"><v>70</v></c><c r="C109" s="9" t="s"><v>71</v></c><c r="D109" s="9" t="s"><v>1040</v></c><c r="E109" s="9" t="str"><f t="shared" si="2"/><v>Hydro</v></c><c r="F109" s="9" t="s"><v>333</v></c><c r="G109" s="9" t="s"><v>161</v></c><c r="H109" s="9" t="s"><v>70</v></c><c r="I109" s="9" t="s"><v>1255</v></c><c r="J109" s="9" t="s"><v>486</v></c><c r="K109" s="9"/><c r="L109" s="9"/></row><row r="110" spans="1:12" s="10" customFormat="1" ht="12" x14ac:dyDescent="0.25"><c r="A110" s="20" t="str"><f t="shared" si="3"/><v>Eólica</v></c><c r="B110" s="9" t="s"><v>72</v></c><c r="C110" s="9" t="s"><v>73</v></c><c r="D110" s="9" t="s"><v>1041</v></c><c r="E110" s="9" t="str"><f t="shared" si="2"/><v>Wind</v></c><c r="F110" s="9" t="s"><v>334</v></c><c r="G110" s="9" t="s"><v>162</v></c><c r="H110" s="9" t="s"><v>208</v></c><c r="I110" s="9" t="s"><v>1256</v></c><c r="J110" s="9" t="s"><v>270</v></c><c r="K110" s="9"/><c r="L110" s="9"/></row><row r="111" spans="1:12" s="10" customFormat="1" ht="12" x14ac:dyDescent="0.25"><c r="A111" s="20" t="str"><f t="shared" si="3"/><v>Solar</v></c><c r="B111" s="9" t="s"><v>74</v></c><c r="C111" s="9" t="s"><v>74</v></c><c r="D111" s="9" t="s"><v>74</v></c><c r="E111" s="9" t="str"><f t="shared" si="2"/><v>Solar</v></c><c r="F111" s="9" t="s"><v>335</v></c><c r="G111" s="9" t="s"><v>163</v></c><c r="H111" s="9" t="s"><v>487</v></c><c r="I111" s="9" t="s"><v>1257</v></c><c r="J111" s="9" t="s"><v>271</v></c><c r="K111" s="9"/><c r="L111" s="9"/></row><row r="112" spans="1:12" s="10" customFormat="1" ht="12" x14ac:dyDescent="0.25"><c r="A112" s="20" t="str"><f t="shared" si="3"/><v>Geotérmica</v></c><c r="B112" s="9" t="s"><v>75</v></c><c r="C112" s="9" t="s"><v>76</v></c><c r="D112" s="9" t="s"><v>76</v></c><c r="E112" s="9" t="str"><f t="shared" si="2"/><v>Geothermal</v></c><c r="F112" s="9" t="s"><v>336</v></c><c r="G112" s="9" t="s"><v>164</v></c><c r="H112" s="9" t="s"><v>209</v></c><c r="I112" s="9" t="s"><v>1258</v></c><c r="J112" s="9" t="s"><v>488</v></c><c r="K112" s="9"/><c r="L112" s="9"/></row><row r="113" spans="1:12" s="10" customFormat="1" ht="12" x14ac:dyDescent="0.25"><c r="A113" s="20" t="str"><f t="shared" si="3"/><v>Oceânica</v></c><c r="B113" s="9" t="s"><v>77</v></c><c r="C113" s="9" t="s"><v>78</v></c><c r="D113" s="9" t="s"><v>1042</v></c><c r="E113" s="9" t="str"><f t="shared" si="2"/><v>Ocean</v></c><c r="F113" s="9" t="s"><v>337</v></c><c r="G113" s="9" t="s"><v>489</v></c><c r="H113" s="9" t="s"><v>490</v></c><c r="I113" s="9" t="s"><v>1259</v></c><c r="J113" s="9" t="s"><v>491</v></c><c r="K113" s="9"/><c r="L113" s="9"/></row><row r="114" spans="1:12" s="10" customFormat="1" ht="12" x14ac:dyDescent="0.25"><c r="A114" s="20" t="str"><f t="shared" si="3"/><v>Biomassa</v></c><c r="B114" s="9" t="s"><v>79</v></c><c r="C114" s="9" t="s"><v>80</v></c><c r="D114" s="9" t="s"><v>1043</v></c><c r="E114" s="9" t="str"><f t="shared" si="2"/><v>Biomass</v></c><c r="F114" s="9" t="s"><v>338</v></c><c r="G114" s="9" t="s"><v>80</v></c><c r="H114" s="9" t="s"><v>210</v></c><c r="I114" s="9" t="s"><v>80</v></c><c r="J114" s="9" t="s"><v>79</v></c><c r="K114" s="9"/><c r="L114" s="9"/></row><row r="115" spans="1:12" s="10" customFormat="1" ht="12" x14ac:dyDescent="0.25"><c r="A115" s="20" t="str"><f t="shared" si="3"/><v>Resíduos urbanos</v></c><c r="B115" s="9" t="s"><v>81</v></c><c r="C115" s="9" t="s"><v>82</v></c><c r="D115" s="9" t="s"><v>1044</v></c><c r="E115" s="9" t="str"><f t="shared" si="2"/><v>Urban waste</v></c><c r="F115" s="9" t="s"><v>339</v></c><c r="G115" s="9" t="s"><v>492</v></c><c r="H115" s="9" t="s"><v>211</v></c><c r="I115" s="9" t="s"><v>1260</v></c><c r="J115" s="9" t="s"><v>493</v></c><c r="K115" s="9"/><c r="L115" s="9"/></row><row r="116" spans="1:12" s="10" customFormat="1" ht="12" x14ac:dyDescent="0.25"><c r="A116" s="20" t="str"><f t="shared" si="3"/><v>Recuperação de energia</v></c><c r="B116" s="9" t="s"><v>494</v></c><c r="C116" s="9" t="s"><v>495</v></c><c r="D116" s="9" t="s"><v>1045</v></c><c r="E116" s="9" t="str"><f t="shared" si="2"/><v>Energy recovery</v></c><c r="F116" s="9" t="s"><v>496</v></c><c r="G116" s="9" t="s"><v>497</v></c><c r="H116" s="9" t="s"><v>498</v></c><c r="I116" s="9" t="s"><v>1261</v></c><c r="J116" s="9" t="s"><v>499</v></c><c r="K116" s="9"/><c r="L116" s="9"/></row><row r="117" spans="1:12" s="10" customFormat="1" ht="12" x14ac:dyDescent="0.25"><c r="A117" s="20" t="str"><f t="shared" si="3"/><v>Subtotal</v></c><c r="B117" s="229" t="s"><v>410</v></c><c r="C117" s="229" t="s"><v>410</v></c><c r="D117" s="229" t="s"><v>1046</v></c><c r="E117" s="229" t="str"><f t="shared" si="2"/><v>Subtotal</v></c><c r="F117" s="229" t="s"><v>417</v></c><c r="G117" s="229" t="s"><v>418</v></c><c r="H117" s="229" t="s"><v>419</v></c><c r="I117" s="229" t="s"><v>1262</v></c><c r="J117" s="229" t="s"><v>420</v></c><c r="K117" s="229"/><c r="L117" s="229"/></row><row r="118" spans="1:12" s="10" customFormat="1" ht="12" x14ac:dyDescent="0.25"><c r="A118" s="20" t="str"><f t="shared" si="3"/><v>TOTAL PARA MERCADO INTERNO</v></c><c r="B118" s="229" t="s"><v>703</v></c><c r="C118" s="229" t="s"><v>702</v></c><c r="D118" s="229" t="s"><v>1047</v></c><c r="E118" s="229" t="str"><f t="shared" si="2"/><v>TOTAL FOR INTERNAL MARKET</v></c><c r="F118" s="229" t="s"><v>701</v></c><c r="G118" s="229" t="s"><v>1395</v></c><c r="H118" s="229" t="s"><v>700</v></c><c r="I118" s="229" t="s"><v>1263</v></c><c r="J118" s="229" t="s"><v>699</v></c><c r="K118" s="229"/><c r="L118" s="229"/></row><row r="119" spans="1:12" s="10" customFormat="1" ht="12" x14ac:dyDescent="0.25"><c r="A119" s="20" t="str"><f t="shared" si="3"/><v>TOTAL</v></c><c r="B119" s="229" t="s"><v>83</v></c><c r="C119" s="229" t="s"><v>83</v></c><c r="D119" s="229" t="s"><v>1048</v></c><c r="E119" s="229" t="str"><f t="shared" si="2"/><v>TOTAL</v></c><c r="F119" s="229" t="s"><v>355</v></c><c r="G119" s="229" t="s"><v>83</v></c><c r="H119" s="229" t="s"><v>83</v></c><c r="I119" s="229" t="s"><v>1264</v></c><c r="J119" s="229" t="s"><v>289</v></c><c r="K119" s="229"/><c r="L119" s="229"/></row><row r="120" spans="1:12" s="10" customFormat="1" ht="24" x14ac:dyDescent="0.25"><c r="A120" s="20" t="str"><f t="shared" si="3"/><v>PRODUÇÃO DE ENERGIA SECUNDÁRIA E FLUXOS ENERGÉTICOS</v></c><c r="B120" s="229" t="s"><v>84</v></c><c r="C120" s="229" t="s"><v>85</v></c><c r="D120" s="229" t="s"><v>1049</v></c><c r="E120" s="229" t="str"><f t="shared" si="2"/><v>SECONDARY ENERGY PRODUCTION AND ENERGY FLUXES</v></c><c r="F120" s="229" t="s"><v>698</v></c><c r="G120" s="229" t="s"><v>160</v></c><c r="H120" s="229" t="s"><v>697</v></c><c r="I120" s="229" t="s"><v>1265</v></c><c r="J120" s="229" t="s"><v>696</v></c><c r="K120" s="229"/><c r="L120" s="229"/></row><row r="121" spans="1:12" s="10" customFormat="1" ht="12" x14ac:dyDescent="0.25"><c r="A121" s="20" t="str"><f t="shared" si="3"/><v>SECTOR DE PRODUÇÃO</v></c><c r="B121" s="229" t="s"><v>695</v></c><c r="C121" s="229" t="s"><v>694</v></c><c r="D121" s="229" t="s"><v>1050</v></c><c r="E121" s="229" t="str"><f t="shared" si="2"/><v>PRODUCTION SECTOR</v></c><c r="F121" s="229" t="s"><v>693</v></c><c r="G121" s="229" t="s"><v>692</v></c><c r="H121" s="229" t="s"><v>691</v></c><c r="I121" s="229" t="s"><v>1266</v></c><c r="J121" s="229" t="s"><v>690</v></c><c r="K121" s="229"/><c r="L121" s="229"/></row><row r="122" spans="1:12" s="10" customFormat="1" ht="12" x14ac:dyDescent="0.25"><c r="A122" s="20" t="str"><f t="shared" si="3"/><v>FONTE DE ENERGIA</v></c><c r="B122" s="229" t="s"><v>689</v></c><c r="C122" s="229" t="s"><v>688</v></c><c r="D122" s="229" t="s"><v>1051</v></c><c r="E122" s="229" t="str"><f t="shared" si="2"/><v>ENERGY SOURCE</v></c><c r="F122" s="229" t="s"><v>687</v></c><c r="G122" s="229" t="s"><v>686</v></c><c r="H122" s="229" t="s"><v>685</v></c><c r="I122" s="229" t="s"><v>1267</v></c><c r="J122" s="229" t="s"><v>684</v></c><c r="K122" s="229"/><c r="L122" s="229"/></row><row r="123" spans="1:12" s="10" customFormat="1" ht="12" x14ac:dyDescent="0.25"><c r="A123" s="20" t="str"><f t="shared" si="3"/><v>Produto energético</v></c><c r="B123" s="229" t="s"><v>683</v></c><c r="C123" s="229" t="s"><v>682</v></c><c r="D123" s="229" t="s"><v>1052</v></c><c r="E123" s="229" t="str"><f t="shared" si="2"/><v>Energy product</v></c><c r="F123" s="229" t="s"><v>681</v></c><c r="G123" s="229" t="s"><v>680</v></c><c r="H123" s="229" t="s"><v>679</v></c><c r="I123" s="229" t="s"><v>1268</v></c><c r="J123" s="229" t="s"><v>678</v></c><c r="K123" s="229"/><c r="L123" s="229"/></row><row r="124" spans="1:12" s="10" customFormat="1" ht="12" x14ac:dyDescent="0.25"><c r="A124" s="20" t="str"><f t="shared" si="3"/><v>Electricidade</v></c><c r="B124" s="229" t="s"><v>677</v></c><c r="C124" s="229" t="s"><v>676</v></c><c r="D124" s="229" t="s"><v>1053</v></c><c r="E124" s="229" t="str"><f t="shared" si="2"/><v>Electricity</v></c><c r="F124" s="229" t="s"><v>675</v></c><c r="G124" s="229" t="s"><v>674</v></c><c r="H124" s="229" t="s"><v>674</v></c><c r="I124" s="229" t="s"><v>1269</v></c><c r="J124" s="229" t="s"><v>673</v></c><c r="K124" s="229"/><c r="L124" s="229"/></row><row r="125" spans="1:12" s="10" customFormat="1" ht="12" x14ac:dyDescent="0.25"><c r="A125" s="20" t="str"><f t="shared" si="3"/><v>Calor</v></c><c r="B125" s="229" t="s"><v>672</v></c><c r="C125" s="229" t="s"><v>671</v></c><c r="D125" s="229" t="s"><v>671</v></c><c r="E125" s="229" t="str"><f t="shared" si="2"/><v>Heat</v></c><c r="F125" s="229" t="s"><v>670</v></c><c r="G125" s="229" t="s"><v>669</v></c><c r="H125" s="229" t="s"><v>668</v></c><c r="I125" s="229" t="s"><v>1270</v></c><c r="J125" s="229" t="s"><v>667</v></c><c r="K125" s="229"/><c r="L125" s="229"/></row><row r="126" spans="1:12" s="10" customFormat="1" ht="12" x14ac:dyDescent="0.25"><c r="A126" s="20" t="str"><f t="shared" si="3"/><v>Frio</v></c><c r="B126" s="229" t="s"><v>666</v></c><c r="C126" s="229" t="s"><v>665</v></c><c r="D126" s="229" t="s"><v>1054</v></c><c r="E126" s="229" t="str"><f t="shared" si="2"/><v>Cold</v></c><c r="F126" s="229" t="s"><v>664</v></c><c r="G126" s="229" t="s"><v>446</v></c><c r="H126" s="229" t="s"><v>663</v></c><c r="I126" s="229" t="s"><v>1271</v></c><c r="J126" s="229" t="s"><v>662</v></c><c r="K126" s="229"/><c r="L126" s="229"/></row><row r="127" spans="1:12" s="10" customFormat="1" ht="36" x14ac:dyDescent="0.25"><c r="A127" s="20" t="str"><f t="shared" si="3"/><v>ENERGIA PRIMÁRIA CONVERTIDA EM ENERGIA SECUNDÁRIA (consumo de energia primária)</v></c><c r="B127" s="229" t="s"><v>661</v></c><c r="C127" s="229" t="s"><v>660</v></c><c r="D127" s="229" t="s"><v>1055</v></c><c r="E127" s="229" t="str"><f t="shared" si="2"/><v>PRIMARY ENERGY CONVERTED TO SECONDARY ENERGY (primary energy consumption)</v></c><c r="F127" s="229" t="s"><v>659</v></c><c r="G127" s="229" t="s"><v>658</v></c><c r="H127" s="229" t="s"><v>657</v></c><c r="I127" s="229" t="s"><v>1272</v></c><c r="J127" s="229" t="s"><v>656</v></c><c r="K127" s="229"/><c r="L127" s="229"/></row><row r="128" spans="1:12" s="10" customFormat="1" ht="24" x14ac:dyDescent="0.25"><c r="A128" s="20" t="str"><f t="shared" si="3"/><v>Perdas de conversão de energia primária em energia secundária</v></c><c r="B128" s="229" t="s"><v>655</v></c><c r="C128" s="229" t="s"><v>654</v></c><c r="D128" s="229" t="s"><v>1056</v></c><c r="E128" s="229" t="str"><f t="shared" si="2"/><v>Conversion losses from primary to secondary energy</v></c><c r="F128" s="229" t="s"><v>653</v></c><c r="G128" s="229" t="s"><v>652</v></c><c r="H128" s="229" t="s"><v>651</v></c><c r="I128" s="229" t="s"><v>1273</v></c><c r="J128" s="229" t="s"><v>650</v></c><c r="K128" s="229"/><c r="L128" s="229"/></row><row r="129" spans="1:12" s="10" customFormat="1" ht="12" x14ac:dyDescent="0.25"><c r="A129" s="20" t="str"><f t="shared" si="3"/><v>EFICIÊNCIA DA CONVERSÃO DE ENERGIA</v></c><c r="B129" s="229" t="s"><v>649</v></c><c r="C129" s="229" t="s"><v>648</v></c><c r="D129" s="229" t="s"><v>1057</v></c><c r="E129" s="229" t="str"><f t="shared" si="2"/><v>ENERGY CONVERSION EFFICIENCY</v></c><c r="F129" s="229" t="s"><v>647</v></c><c r="G129" s="229" t="s"><v>646</v></c><c r="H129" s="229" t="s"><v>645</v></c><c r="I129" s="229" t="s"><v>1274</v></c><c r="J129" s="229" t="s"><v>644</v></c><c r="K129" s="229"/><c r="L129" s="229"/></row><row r="130" spans="1:12" s="10" customFormat="1" ht="12" x14ac:dyDescent="0.25"><c r="A130" s="20" t="str"><f t="shared" si="3"/><v>FLUXOS ENERGÉTICOS</v></c><c r="B130" s="229" t="s"><v>643</v></c><c r="C130" s="229" t="s"><v>642</v></c><c r="D130" s="229" t="s"><v>1058</v></c><c r="E130" s="229" t="str"><f t="shared" si="2"/><v>ENERGY FLUXES</v></c><c r="F130" s="229" t="s"><v>641</v></c><c r="G130" s="229" t="s"><v>640</v></c><c r="H130" s="229" t="s"><v>639</v></c><c r="I130" s="229" t="s"><v>1275</v></c><c r="J130" s="229" t="s"><v>638</v></c><c r="K130" s="229"/><c r="L130" s="229"/></row><row r="131" spans="1:12" s="10" customFormat="1" ht="12" x14ac:dyDescent="0.25"><c r="A131" s="20" t="str"><f t="shared" si="3"/><v>Armazenamento</v></c><c r="B131" s="229" t="s"><v>86</v></c><c r="C131" s="229" t="s"><v>87</v></c><c r="D131" s="229" t="s"><v>1059</v></c><c r="E131" s="229" t="str"><f t="shared" si="2"/><v>Storage</v></c><c r="F131" s="229" t="s"><v>340</v></c><c r="G131" s="229" t="s"><v>166</v></c><c r="H131" s="229" t="s"><v>637</v></c><c r="I131" s="229" t="s"><v>1276</v></c><c r="J131" s="229" t="s"><v>636</v></c><c r="K131" s="229"/><c r="L131" s="229"/></row><row r="132" spans="1:12" s="10" customFormat="1" ht="12" x14ac:dyDescent="0.25"><c r="A132" s="20" t="str"><f t="shared" si="3"/><v>Entrada para armazenamento</v></c><c r="B132" s="229" t="s"><v>635</v></c><c r="C132" s="229" t="s"><v>634</v></c><c r="D132" s="229" t="s"><v>1060</v></c><c r="E132" s="229" t="str"><f t="shared" si="2"/><v>Input to storage</v></c><c r="F132" s="229" t="s"><v>633</v></c><c r="G132" s="229" t="s"><v>1396</v></c><c r="H132" s="229" t="s"><v>632</v></c><c r="I132" s="229" t="s"><v>1277</v></c><c r="J132" s="229" t="s"><v>631</v></c><c r="K132" s="229"/><c r="L132" s="229"/></row><row r="133" spans="1:12" s="10" customFormat="1" ht="12" x14ac:dyDescent="0.25"><c r="A133" s="20" t="str"><f t="shared" si="3"/><v>Saída do armazenamento</v></c><c r="B133" s="229" t="s"><v>630</v></c><c r="C133" s="229" t="s"><v>629</v></c><c r="D133" s="229" t="s"><v>1061</v></c><c r="E133" s="229" t="str"><f t="shared" si="2"/><v>Output from storage</v></c><c r="F133" s="229" t="s"><v>628</v></c><c r="G133" s="229" t="s"><v>1397</v></c><c r="H133" s="229" t="s"><v>627</v></c><c r="I133" s="229" t="s"><v>1278</v></c><c r="J133" s="229" t="s"><v>626</v></c><c r="K133" s="229"/><c r="L133" s="229"/></row><row r="134" spans="1:12" s="10" customFormat="1" ht="12" x14ac:dyDescent="0.25"><c r="A134" s="20" t="str"><f t="shared" si="3"/><v>Ligação externa</v></c><c r="B134" s="229" t="s"><v>88</v></c><c r="C134" s="229" t="s"><v>89</v></c><c r="D134" s="229" t="s"><v>1062</v></c><c r="E134" s="229" t="str"><f t="shared" si="2"/><v>External connection</v></c><c r="F134" s="229" t="s"><v>625</v></c><c r="G134" s="229" t="s"><v>624</v></c><c r="H134" s="229" t="s"><v>212</v></c><c r="I134" s="229" t="s"><v>1279</v></c><c r="J134" s="229" t="s"><v>623</v></c><c r="K134" s="229"/><c r="L134" s="229"/></row><row r="135" spans="1:12" s="10" customFormat="1" ht="12" x14ac:dyDescent="0.25"><c r="A135" s="20" t="str"><f t="shared" si="3"/><v>Importação para a ilha</v></c><c r="B135" s="229" t="s"><v>622</v></c><c r="C135" s="229" t="s"><v>621</v></c><c r="D135" s="229" t="s"><v>1063</v></c><c r="E135" s="229" t="str"><f t="shared" si="2"/><v>Import to island</v></c><c r="F135" s="229" t="s"><v>620</v></c><c r="G135" s="229" t="s"><v>619</v></c><c r="H135" s="229" t="s"><v>618</v></c><c r="I135" s="229" t="s"><v>1280</v></c><c r="J135" s="229" t="s"><v>617</v></c><c r="K135" s="229"/><c r="L135" s="229"/></row><row r="136" spans="1:12" s="10" customFormat="1" ht="12" x14ac:dyDescent="0.25"><c r="A136" s="20" t="str"><f t="shared" si="3"/><v>Exportação da ilha</v></c><c r="B136" s="229" t="s"><v>616</v></c><c r="C136" s="229" t="s"><v>615</v></c><c r="D136" s="229" t="s"><v>1064</v></c><c r="E136" s="229" t="str"><f t="shared" si="2"/><v>Export from island</v></c><c r="F136" s="229" t="s"><v>614</v></c><c r="G136" s="229" t="s"><v>613</v></c><c r="H136" s="229" t="s"><v>612</v></c><c r="I136" s="229" t="s"><v>1281</v></c><c r="J136" s="229" t="s"><v>611</v></c><c r="K136" s="229"/><c r="L136" s="229"/></row><row r="137" spans="1:12" s="10" customFormat="1" ht="12" x14ac:dyDescent="0.25"><c r="A137" s="20" t="str"><f t="shared" ref="A137:A200" si="4">IF($A$6=$B$6,B137,"")&amp;IF($A$6=$C$6,C137,"")&amp;IF($A$6=$D$6,D137,"")&amp;IF($A$6=$E$6,E137,"")&amp;IF($A$6=$F$6,F137,"")&amp;IF($A$6=$G$6,G137,"")&amp;IF($A$6=$H$6,H137,"")&amp;IF($A$6=$I$6,I137,"")&amp;IF($A$6=$J$6,J137,"")&amp;IF($A$6=$K$6,K137,"")&amp;IF($A$6=$L$6,L137,"")</f><v>Reexportação e consumos externos</v></c><c r="B137" s="229" t="s"><v>610</v></c><c r="C137" s="229" t="s"><v>609</v></c><c r="D137" s="229" t="s"><v>1065</v></c><c r="E137" s="229" t="str"><f t="shared" ref="E137:E200" si="5">B137</f><v>Reexportation and external consumption</v></c><c r="F137" s="229" t="s"><v>608</v></c><c r="G137" s="229" t="s"><v>607</v></c><c r="H137" s="229" t="s"><v>606</v></c><c r="I137" s="229" t="s"><v>1282</v></c><c r="J137" s="229" t="s"><v>605</v></c><c r="K137" s="229"/><c r="L137" s="229"/></row><row r="138" spans="1:12" s="10" customFormat="1" ht="24" x14ac:dyDescent="0.25"><c r="A138" s="20" t="str"><f t="shared" si="4"/><v>Perdas de distribuição e consumos próprios</v></c><c r="B138" s="229" t="s"><v>90</v></c><c r="C138" s="229" t="s"><v>91</v></c><c r="D138" s="229" t="s"><v>1066</v></c><c r="E138" s="229" t="str"><f t="shared" si="5"/><v>Distribution losses and self-consumption</v></c><c r="F138" s="229" t="s"><v>604</v></c><c r="G138" s="229" t="s"><v>603</v></c><c r="H138" s="229" t="s"><v>602</v></c><c r="I138" s="229" t="s"><v>1283</v></c><c r="J138" s="229" t="s"><v>601</v></c><c r="K138" s="229"/><c r="L138" s="229"/></row><row r="139" spans="1:12" s="10" customFormat="1" ht="12" x14ac:dyDescent="0.25"><c r="A139" s="20" t="str"><f t="shared" si="4"/><v>CONVERSÃO DE ENERGIA SECUNDÁRIA</v></c><c r="B139" s="229" t="s"><v>600</v></c><c r="C139" s="229" t="s"><v>599</v></c><c r="D139" s="229" t="s"><v>1067</v></c><c r="E139" s="229" t="str"><f t="shared" si="5"/><v>SECONDARY ENERGY CONVERSION</v></c><c r="F139" s="229" t="s"><v>598</v></c><c r="G139" s="229" t="s"><v>597</v></c><c r="H139" s="229" t="s"><v>596</v></c><c r="I139" s="229" t="s"><v>1284</v></c><c r="J139" s="229" t="s"><v>595</v></c><c r="K139" s="229"/><c r="L139" s="229"/></row><row r="140" spans="1:12" s="10" customFormat="1" ht="12" x14ac:dyDescent="0.25"><c r="A140" s="20" t="str"><f t="shared" si="4"/><v>Conversão de electricidade para frio</v></c><c r="B140" s="229" t="s"><v>594</v></c><c r="C140" s="229" t="s"><v>593</v></c><c r="D140" s="229" t="s"><v>1068</v></c><c r="E140" s="229" t="str"><f t="shared" si="5"/><v>Electricity conversion to cold</v></c><c r="F140" s="229" t="s"><v>592</v></c><c r="G140" s="229" t="s"><v>591</v></c><c r="H140" s="229" t="s"><v>590</v></c><c r="I140" s="229" t="s"><v>1285</v></c><c r="J140" s="229" t="s"><v>589</v></c><c r="K140" s="229"/><c r="L140" s="229"/></row><row r="141" spans="1:12" s="10" customFormat="1" ht="12" x14ac:dyDescent="0.25"><c r="A141" s="20" t="str"><f t="shared" si="4"/><v>Conversão de calor para frio</v></c><c r="B141" s="229" t="s"><v>588</v></c><c r="C141" s="229" t="s"><v>587</v></c><c r="D141" s="229" t="s"><v>1069</v></c><c r="E141" s="229" t="str"><f t="shared" si="5"/><v>Heat conversion to cold</v></c><c r="F141" s="229" t="s"><v>586</v></c><c r="G141" s="229" t="s"><v>585</v></c><c r="H141" s="229" t="s"><v>584</v></c><c r="I141" s="229" t="s"><v>1286</v></c><c r="J141" s="229" t="s"><v>583</v></c><c r="K141" s="229"/><c r="L141" s="229"/></row><row r="142" spans="1:12" s="10" customFormat="1" ht="12" x14ac:dyDescent="0.25"><c r="A142" s="20" t="str"><f t="shared" si="4"/><v>Procura de energia final</v></c><c r="B142" s="229" t="s"><v>582</v></c><c r="C142" s="229" t="s"><v>581</v></c><c r="D142" s="229" t="s"><v>993</v></c><c r="E142" s="229" t="str"><f t="shared" si="5"/><v>Final energy demand</v></c><c r="F142" s="229" t="s"><v>580</v></c><c r="G142" s="229" t="s"><v>579</v></c><c r="H142" s="229" t="s"><v>578</v></c><c r="I142" s="229" t="s"><v>1287</v></c><c r="J142" s="229" t="s"><v>577</v></c><c r="K142" s="229"/><c r="L142" s="229"/></row><row r="143" spans="1:12" s="10" customFormat="1" ht="12" x14ac:dyDescent="0.25"><c r="A143" s="20" t="str"><f t="shared" si="4"/><v>FONTE DE ENERGIA PRIMÁRIA</v></c><c r="B143" s="229" t="s"><v>576</v></c><c r="C143" s="229" t="s"><v>575</v></c><c r="D143" s="229" t="s"><v>1070</v></c><c r="E143" s="229" t="str"><f t="shared" si="5"/><v>PRIMARY ENERGY SOURCE</v></c><c r="F143" s="229" t="s"><v>574</v></c><c r="G143" s="229" t="s"><v>573</v></c><c r="H143" s="229" t="s"><v>572</v></c><c r="I143" s="229" t="s"><v>1288</v></c><c r="J143" s="229" t="s"><v>571</v></c><c r="K143" s="229"/><c r="L143" s="229"/></row><row r="144" spans="1:12" s="10" customFormat="1" ht="12" x14ac:dyDescent="0.25"><c r="A144" s="20" t="str"><f t="shared" si="4"/><v>PROCURA DE ENERGIA PRIMÁRIA</v></c><c r="B144" s="229" t="s"><v>570</v></c><c r="C144" s="229" t="s"><v>569</v></c><c r="D144" s="229" t="s"><v>1071</v></c><c r="E144" s="229" t="str"><f t="shared" si="5"/><v>PRIMARY ENERGY DEMAND</v></c><c r="F144" s="229" t="s"><v>568</v></c><c r="G144" s="229" t="s"><v>567</v></c><c r="H144" s="229" t="s"><v>566</v></c><c r="I144" s="229" t="s"><v>1289</v></c><c r="J144" s="229" t="s"><v>565</v></c><c r="K144" s="229"/><c r="L144" s="229"/></row><row r="145" spans="1:12" s="10" customFormat="1" ht="12" x14ac:dyDescent="0.25"><c r="A145" s="20" t="str"><f t="shared" si="4"/><v>Electricidade importada (cabo)</v></c><c r="B145" s="229" t="s"><v>564</v></c><c r="C145" s="229" t="s"><v>563</v></c><c r="D145" s="229" t="s"><v>1072</v></c><c r="E145" s="229" t="str"><f t="shared" si="5"/><v>Imported electricity (cable)</v></c><c r="F145" s="229" t="s"><v>562</v></c><c r="G145" s="229" t="s"><v>561</v></c><c r="H145" s="229" t="s"><v>560</v></c><c r="I145" s="229" t="s"><v>1290</v></c><c r="J145" s="229" t="s"><v>559</v></c><c r="K145" s="229"/><c r="L145" s="229"/></row><row r="146" spans="1:12" s="10" customFormat="1" ht="12" x14ac:dyDescent="0.25"><c r="A146" s="20" t="str"><f t="shared" si="4"/><v>Electricidade exportada (cabo)</v></c><c r="B146" s="229" t="s"><v>558</v></c><c r="C146" s="229" t="s"><v>557</v></c><c r="D146" s="229" t="s"><v>1073</v></c><c r="E146" s="229" t="str"><f t="shared" si="5"/><v>Exported electricity (cable)</v></c><c r="F146" s="229" t="s"><v>556</v></c><c r="G146" s="229" t="s"><v>555</v></c><c r="H146" s="229" t="s"><v>554</v></c><c r="I146" s="229" t="s"><v>1291</v></c><c r="J146" s="229" t="s"><v>553</v></c><c r="K146" s="229"/><c r="L146" s="229"/></row><row r="147" spans="1:12" s="10" customFormat="1" ht="13.5" x14ac:dyDescent="0.25"><c r="A147" s="20" t="str"><f t="shared" si="4"/><v>EMISSÕES DE CO2</v></c><c r="B147" s="229" t="s"><v>552</v></c><c r="C147" s="229" t="s"><v>551</v></c><c r="D147" s="229" t="s"><v>1074</v></c><c r="E147" s="229" t="str"><f t="shared" si="5"/><v>CO2 EMISSIONS</v></c><c r="F147" s="229" t="s"><v>550</v></c><c r="G147" s="229" t="s"><v>1398</v></c><c r="H147" s="229" t="s"><v>549</v></c><c r="I147" s="229" t="s"><v>1292</v></c><c r="J147" s="229" t="s"><v>548</v></c><c r="K147" s="229"/><c r="L147" s="229"/></row><row r="148" spans="1:12" s="10" customFormat="1" ht="13.5" x14ac:dyDescent="0.25"><c r="A148" s="20" t="str"><f t="shared" si="4"/><v>EMISSÕES DE CO2 DA PRODUÇÃO</v></c><c r="B148" s="229" t="s"><v>547</v></c><c r="C148" s="229" t="s"><v>546</v></c><c r="D148" s="229" t="s"><v>1075</v></c><c r="E148" s="229" t="str"><f t="shared" si="5"/><v>CO2 EMISSIONS FROM PRODUCTION</v></c><c r="F148" s="229" t="s"><v>545</v></c><c r="G148" s="229" t="s"><v>1399</v></c><c r="H148" s="229" t="s"><v>544</v></c><c r="I148" s="229" t="s"><v>1293</v></c><c r="J148" s="229" t="s"><v>543</v></c><c r="K148" s="229"/><c r="L148" s="229"/></row><row r="149" spans="1:12" s="10" customFormat="1" ht="13.5" x14ac:dyDescent="0.25"><c r="A149" s="20" t="str"><f t="shared" si="4"/><v>EMISSÕES DE CO2 DA UTILIZAÇÃO FINAL</v></c><c r="B149" s="229" t="s"><v>542</v></c><c r="C149" s="229" t="s"><v>541</v></c><c r="D149" s="229" t="s"><v>1076</v></c><c r="E149" s="229" t="str"><f t="shared" si="5"/><v>CO2 EMISSIONS FROM FINAL USE</v></c><c r="F149" s="229" t="s"><v>540</v></c><c r="G149" s="229" t="s"><v>1400</v></c><c r="H149" s="229" t="s"><v>539</v></c><c r="I149" s="229" t="s"><v>1294</v></c><c r="J149" s="229" t="s"><v>538</v></c><c r="K149" s="229"/><c r="L149" s="229"/></row><row r="150" spans="1:12" s="10" customFormat="1" ht="13.5" x14ac:dyDescent="0.25"><c r="A150" s="20" t="str"><f t="shared" si="4"/><v>FACTORES DE EMISSÃO DE CO2</v></c><c r="B150" s="229" t="s"><v>537</v></c><c r="C150" s="229" t="s"><v>536</v></c><c r="D150" s="229" t="s"><v>1077</v></c><c r="E150" s="229" t="str"><f t="shared" si="5"/><v>CO2 EMISSION FACTORS</v></c><c r="F150" s="229" t="s"><v>535</v></c><c r="G150" s="229" t="s"><v>1401</v></c><c r="H150" s="229" t="s"><v>534</v></c><c r="I150" s="229" t="s"><v>1295</v></c><c r="J150" s="229" t="s"><v>533</v></c><c r="K150" s="229"/><c r="L150" s="229"/></row><row r="151" spans="1:12" s="10" customFormat="1" ht="36" x14ac:dyDescent="0.25"><c r="A151" s="20" t="str"><f t="shared" si="4"/><v>Emissões de CO2 de instalações CELE incluídas no cálculo para a energia final</v></c><c r="B151" s="229" t="s"><v>532</v></c><c r="C151" s="229" t="s"><v>531</v></c><c r="D151" s="229" t="s"><v>1078</v></c><c r="E151" s="229" t="str"><f t="shared" si="5"/><v>CO2 emissions from ETS installations included in the calculations for final use of energy</v></c><c r="F151" s="229" t="s"><v>530</v></c><c r="G151" s="229" t="s"><v>1402</v></c><c r="H151" s="229" t="s"><v>529</v></c><c r="I151" s="229" t="s"><v>1296</v></c><c r="J151" s="229" t="s"><v>528</v></c><c r="K151" s="229"/><c r="L151" s="229"/></row><row r="152" spans="1:12" s="10" customFormat="1" ht="36" x14ac:dyDescent="0.25"><c r="A152" s="20" t="str"><f t="shared" si="4"/><v>Emissões de CO2 de instalações CELE incluídas no cálculo para a produção de energia secundária</v></c><c r="B152" s="229" t="s"><v>527</v></c><c r="C152" s="229" t="s"><v>526</v></c><c r="D152" s="229" t="s"><v>1079</v></c><c r="E152" s="229" t="str"><f t="shared" si="5"/><v>CO2 emissions from ETS installations included in the calculations for secondary energy production</v></c><c r="F152" s="229" t="s"><v>525</v></c><c r="G152" s="229" t="s"><v>1403</v></c><c r="H152" s="229" t="s"><v>524</v></c><c r="I152" s="229" t="s"><v>1297</v></c><c r="J152" s="229" t="s"><v>523</v></c><c r="K152" s="229"/><c r="L152" s="229"/></row><row r="153" spans="1:12" s="10" customFormat="1" ht="24" x14ac:dyDescent="0.25"><c r="A153" s="20" t="str"><f t="shared" si="4"/><v>RESULTADOS DO INVENTÁRIO DE EMISSÕES</v></c><c r="B153" s="229" t="s"><v>836</v></c><c r="C153" s="229" t="s"><v>837</v></c><c r="D153" s="229" t="s"><v>1080</v></c><c r="E153" s="229" t="str"><f t="shared" si="5"/><v>RESULTS OF EMISSION INVENTORY</v></c><c r="F153" s="229" t="s"><v>940</v></c><c r="G153" s="229" t="s"><v>1404</v></c><c r="H153" s="229" t="s"><v>1153</v></c><c r="I153" s="229" t="s"><v>1298</v></c><c r="J153" s="229" t="s"><v>1457</v></c><c r="K153" s="229"/><c r="L153" s="229"/></row><row r="154" spans="1:12" s="10" customFormat="1" ht="24" x14ac:dyDescent="0.25"><c r="A154" s="20" t="str"><f t="shared" si="4"/><v xml:space="preserve">Continue na próxima página dedicada ao Inventário de Emissões em 2020 </v></c><c r="B154" s="229" t="s"><v>905</v></c><c r="C154" s="229" t="s"><v>906</v></c><c r="D154" s="229" t="s"><v>1081</v></c><c r="E154" s="229" t="str"><f t="shared" si="5"/><v xml:space="preserve">Go to the next sheet dedicated to your Emission Inventory in 2020 </v></c><c r="F154" s="229" t="s"><v>941</v></c><c r="G154" s="229" t="s"><v>1405</v></c><c r="H154" s="229" t="s"><v>1154</v></c><c r="I154" s="229" t="s"><v>1299</v></c><c r="J154" s="229" t="s"><v>1458</v></c><c r="K154" s="229"/><c r="L154" s="229"/></row><row r="155" spans="1:12" s="10" customFormat="1" ht="36" x14ac:dyDescent="0.25"><c r="A155" s="20" t="str"><f t="shared" si="4"/><v>INVENTÁRIO DE EMISSÕES DO PLANO EM 2020 (com implementação das acções para a energia sustentável)</v></c><c r="B155" s="229" t="s"><v>851</v></c><c r="C155" s="229" t="s"><v>852</v></c><c r="D155" s="229" t="s"><v>1082</v></c><c r="E155" s="229" t="str"><f t="shared" si="5"/><v>PLAN EMISSION INVENTORY IN 2020 (implementing sustainable energy actions)</v></c><c r="F155" s="229" t="s"><v>942</v></c><c r="G155" s="229" t="s"><v>1406</v></c><c r="H155" s="229" t="s"><v>1155</v></c><c r="I155" s="229" t="s"><v>1300</v></c><c r="J155" s="229" t="s"><v>1459</v></c><c r="K155" s="229"/><c r="L155" s="229"/></row><row r="156" spans="1:12" s="10" customFormat="1" ht="24" x14ac:dyDescent="0.25"><c r="A156" s="20" t="str"><f t="shared" si="4"/><v xml:space="preserve">Continue na próxima página dedicada ao Plano de Acção para a Energia Sustentável </v></c><c r="B156" s="229" t="s"><v>907</v></c><c r="C156" s="229" t="s"><v>908</v></c><c r="D156" s="229" t="s"><v>1083</v></c><c r="E156" s="229" t="str"><f t="shared" si="5"/><v xml:space="preserve">Go to the next sheet dedicated to your Island Sustainable Energy Action Plan </v></c><c r="F156" s="229" t="s"><v>943</v></c><c r="G156" s="229" t="s"><v>1407</v></c><c r="H156" s="229" t="s"><v>1156</v></c><c r="I156" s="229" t="s"><v>1301</v></c><c r="J156" s="229" t="s"><v>1460</v></c><c r="K156" s="229"/><c r="L156" s="229"/></row><row r="157" spans="1:12" s="10" customFormat="1" ht="24" x14ac:dyDescent="0.25"><c r="A157" s="20" t="str"><f t="shared" si="4"/><v>TÍTULO DO PLANO DE ACÇÃO PARA A ENERGIA SUSTENTÁVEL</v></c><c r="B157" s="229" t="s"><v>839</v></c><c r="C157" s="229" t="s"><v>840</v></c><c r="D157" s="229" t="s"><v>1084</v></c><c r="E157" s="229" t="str"><f t="shared" si="5"/><v>TITLE OF ISLAND SUSTAINABLE ENERGY ACTION PLAN</v></c><c r="F157" s="229" t="s"><v>944</v></c><c r="G157" s="229" t="s"><v>1408</v></c><c r="H157" s="229" t="s"><v>1157</v></c><c r="I157" s="229" t="s"><v>1302</v></c><c r="J157" s="229" t="s"><v>841</v></c><c r="K157" s="229"/><c r="L157" s="229"/></row><row r="158" spans="1:12" s="10" customFormat="1" ht="12" x14ac:dyDescent="0.25"><c r="A158" s="20" t="str"><f t="shared" si="4"/><v>Data de aprovação formal</v></c><c r="B158" s="229" t="s"><v>2</v></c><c r="C158" s="229" t="s"><v>117</v></c><c r="D158" s="229" t="s"><v>1085</v></c><c r="E158" s="229" t="str"><f t="shared" si="5"/><v>Date of formal approval</v></c><c r="F158" s="229" t="s"><v>296</v></c><c r="G158" s="229" t="s"><v>1409</v></c><c r="H158" s="229" t="s"><v>176</v></c><c r="I158" s="229" t="s"><v>1303</v></c><c r="J158" s="229" t="s"><v>233</v></c><c r="K158" s="229"/><c r="L158" s="229"/></row><row r="159" spans="1:12" s="10" customFormat="1" ht="12" x14ac:dyDescent="0.25"><c r="A159" s="20" t="str"><f t="shared" si="4"/><v>Entidade que aprova o plano</v></c><c r="B159" s="229" t="s"><v>3</v></c><c r="C159" s="229" t="s"><v>118</v></c><c r="D159" s="229" t="s"><v>1086</v></c><c r="E159" s="229" t="str"><f t="shared" si="5"/><v>Authority approving the plan</v></c><c r="F159" s="229" t="s"><v>297</v></c><c r="G159" s="229" t="s"><v>1410</v></c><c r="H159" s="229" t="s"><v>177</v></c><c r="I159" s="229" t="s"><v>1304</v></c><c r="J159" s="229" t="s"><v>234</v></c><c r="K159" s="229"/><c r="L159" s="229"/></row><row r="160" spans="1:12" s="10" customFormat="1" ht="24" x14ac:dyDescent="0.25"><c r="A160" s="20" t="str"><f t="shared" si="4"/><v>ELEMENTOS PRINCIPAIS DO PLANO DE ACÇÃO PARA A ENERGIA SUSTENTÁVEL</v></c><c r="B160" s="229" t="s"><v>842</v></c><c r="C160" s="229" t="s"><v>843</v></c><c r="D160" s="229" t="s"><v>1087</v></c><c r="E160" s="229" t="str"><f t="shared" si="5"/><v>KEY ELEMENTS OF ISLAND SUSTAINABLE ENERGY ACTION PLAN</v></c><c r="F160" s="229" t="s"><v>945</v></c><c r="G160" s="229" t="s"><v>1411</v></c><c r="H160" s="229" t="s"><v>1158</v></c><c r="I160" s="229" t="s"><v>1305</v></c><c r="J160" s="229" t="s"><v>844</v></c><c r="K160" s="229"/><c r="L160" s="229"/></row><row r="161" spans="1:12" s="10" customFormat="1" ht="12" x14ac:dyDescent="0.25"><c r="A161" s="20" t="str"><f t="shared" si="4"/><v>SECTORES E ÁREAS DE INTERVENÇÃO</v></c><c r="B161" s="229" t="s"><v>102</v></c><c r="C161" s="229" t="s"><v>121</v></c><c r="D161" s="229" t="s"><v>1088</v></c><c r="E161" s="229" t="str"><f t="shared" si="5"/><v>SECTORS AND FIELDS OF ACTION</v></c><c r="F161" s="229" t="s"><v>299</v></c><c r="G161" s="229" t="s"><v>1412</v></c><c r="H161" s="229" t="s"><v>179</v></c><c r="I161" s="229" t="s"><v>1306</v></c><c r="J161" s="229" t="s"><v>236</v></c><c r="K161" s="229"/><c r="L161" s="229"/></row><row r="162" spans="1:12" s="10" customFormat="1" ht="36" x14ac:dyDescent="0.25"><c r="A162" s="20" t="str"><f t="shared" si="4"/><v>ACÇÕES
(uma linha por acção - inserir linhas se necessário; excluir acções CELE)</v></c><c r="B162" s="229" t="s"><v>103</v></c><c r="C162" s="229" t="s"><v>122</v></c><c r="D162" s="229" t="s"><v>1089</v></c><c r="E162" s="229" t="str"><f t="shared" si="5"/><v>ACTIONS
(one line per action - insert lines if necessary; exclude ETS actions)</v></c><c r="F162" s="229" t="s"><v>300</v></c><c r="G162" s="229" t="s"><v>1413</v></c><c r="H162" s="229" t="s"><v>180</v></c><c r="I162" s="229" t="s"><v>1307</v></c><c r="J162" s="229" t="s"><v>237</v></c><c r="K162" s="229"/><c r="L162" s="229"/></row><row r="163" spans="1:12" s="10" customFormat="1" ht="12" x14ac:dyDescent="0.25"><c r="A163" s="20" t="str"><f t="shared" si="4"/><v>RESPONSÁVEL PELA IMPLEMENTAÇÃO</v></c><c r="B163" s="229" t="s"><v>104</v></c><c r="C163" s="229" t="s"><v>123</v></c><c r="D163" s="229" t="s"><v>1090</v></c><c r="E163" s="229" t="str"><f t="shared" si="5"/><v>RESPONSIBLE FOR IMPLEMENTATION</v></c><c r="F163" s="229" t="s"><v>301</v></c><c r="G163" s="229" t="s"><v>146</v></c><c r="H163" s="229" t="s"><v>181</v></c><c r="I163" s="229" t="s"><v>1308</v></c><c r="J163" s="229" t="s"><v>238</v></c><c r="K163" s="229"/><c r="L163" s="229"/></row><row r="164" spans="1:12" s="10" customFormat="1" ht="12" x14ac:dyDescent="0.25"><c r="A164" s="20" t="str"><f t="shared" si="4"/><v>CALENDÁRIO DE IMPLEMENTAÇÃO</v></c><c r="B164" s="229" t="s"><v>105</v></c><c r="C164" s="229" t="s"><v>124</v></c><c r="D164" s="229" t="s"><v>1091</v></c><c r="E164" s="229" t="str"><f t="shared" si="5"/><v>IMPLEMENTATION SCHEDULE</v></c><c r="F164" s="229" t="s"><v>302</v></c><c r="G164" s="229" t="s"><v>147</v></c><c r="H164" s="229" t="s"><v>182</v></c><c r="I164" s="229" t="s"><v>1309</v></c><c r="J164" s="229" t="s"><v>239</v></c><c r="K164" s="229"/><c r="L164" s="229"/></row><row r="165" spans="1:12" s="10" customFormat="1" ht="12" x14ac:dyDescent="0.25"><c r="A165" s="20" t="str"><f t="shared" si="4"/><v>Ano de início</v></c><c r="B165" s="229" t="s"><v>93</v></c><c r="C165" s="229" t="s"><v>125</v></c><c r="D165" s="229" t="s"><v>1092</v></c><c r="E165" s="229" t="str"><f t="shared" si="5"/><v>Starting year</v></c><c r="F165" s="229" t="s"><v>303</v></c><c r="G165" s="229" t="s"><v>148</v></c><c r="H165" s="229" t="s"><v>183</v></c><c r="I165" s="229" t="s"><v>1310</v></c><c r="J165" s="229" t="s"><v>240</v></c><c r="K165" s="229"/><c r="L165" s="229"/></row><row r="166" spans="1:12" s="10" customFormat="1" ht="12" x14ac:dyDescent="0.25"><c r="A166" s="20" t="str"><f t="shared" si="4"/><v>Ano de conclusão</v></c><c r="B166" s="229" t="s"><v>94</v></c><c r="C166" s="229" t="s"><v>126</v></c><c r="D166" s="229" t="s"><v>1093</v></c><c r="E166" s="229" t="str"><f t="shared" si="5"/><v>Ending year</v></c><c r="F166" s="229" t="s"><v>304</v></c><c r="G166" s="229" t="s"><v>149</v></c><c r="H166" s="229" t="s"><v>184</v></c><c r="I166" s="229" t="s"><v>1311</v></c><c r="J166" s="229" t="s"><v>241</v></c><c r="K166" s="229"/><c r="L166" s="229"/></row><row r="167" spans="1:12" s="10" customFormat="1" ht="24" x14ac:dyDescent="0.25"><c r="A167" s="20" t="str"><f t="shared" si="4"/><v>INVESTIMENTO ESTIMADO [euro]</v></c><c r="B167" s="229" t="s"><v>106</v></c><c r="C167" s="229" t="s"><v>127</v></c><c r="D167" s="229" t="s"><v>1094</v></c><c r="E167" s="229" t="str"><f t="shared" si="5"/><v>ESTIMATED INVESTMENT COSTS [euro]</v></c><c r="F167" s="229" t="s"><v>305</v></c><c r="G167" s="229" t="s"><v>1350</v></c><c r="H167" s="229" t="s"><v>185</v></c><c r="I167" s="229" t="s"><v>1312</v></c><c r="J167" s="229" t="s"><v>242</v></c><c r="K167" s="229"/><c r="L167" s="229"/></row><row r="168" spans="1:12" s="10" customFormat="1" ht="24" x14ac:dyDescent="0.25"><c r="A168" s="20" t="str"><f t="shared" si="4"/><v>POUPANÇA DE ENERGIA ESPERADA [MWh/ano]</v></c><c r="B168" s="229" t="s"><v>107</v></c><c r="C168" s="229" t="s"><v>128</v></c><c r="D168" s="229" t="s"><v>1095</v></c><c r="E168" s="229" t="str"><f t="shared" si="5"/><v>EXPECTED ENERGY SAVINGS [MWh/year]</v></c><c r="F168" s="229" t="s"><v>306</v></c><c r="G168" s="229" t="s"><v>1414</v></c><c r="H168" s="229" t="s"><v>186</v></c><c r="I168" s="229" t="s"><v>1313</v></c><c r="J168" s="229" t="s"><v>243</v></c><c r="K168" s="229"/><c r="L168" s="229"/></row><row r="169" spans="1:12" s="10" customFormat="1" ht="24" x14ac:dyDescent="0.25"><c r="A169" s="20" t="str"><f t="shared" si="4"/><v>AUMENTO DE ENERGIA RENOVÁVEL ESPERADO [MWh/ano]</v></c><c r="B169" s="229" t="s"><v>1468</v></c><c r="C169" s="229" t="s"><v>1473</v></c><c r="D169" s="229" t="s"><v>1096</v></c><c r="E169" s="229" t="str"><f t="shared" si="5"/><v>EXPECTED RENEWABLE ENERGY INCREASE [MWh/year]</v></c><c r="F169" s="229" t="s"><v>1471</v></c><c r="G169" s="229" t="s"><v>1475</v></c><c r="H169" s="229" t="s"><v>1479</v></c><c r="I169" s="229" t="s"><v>1477</v></c><c r="J169" s="229" t="s"><v>244</v></c><c r="K169" s="229"/><c r="L169" s="229"/></row><row r="170" spans="1:12" s="10" customFormat="1" ht="13.5" x14ac:dyDescent="0.25"><c r="A170" s="20" t="str"><f t="shared" si="4"/><v>REDUÇÃO DE EMISSÕES DE CO2 ESPERADA [t/ano]</v></c><c r="B170" s="229" t="s"><v>108</v></c><c r="C170" s="229" t="s"><v>1474</v></c><c r="D170" s="229" t="s"><v>1097</v></c><c r="E170" s="229" t="str"><f t="shared" si="5"/><v>EXPECTED CO2 REDUCTION [ton/year]</v></c><c r="F170" s="229" t="s"><v>307</v></c><c r="G170" s="229" t="s"><v>1415</v></c><c r="H170" s="229" t="s"><v>1481</v></c><c r="I170" s="229" t="s"><v>1314</v></c><c r="J170" s="229" t="s"><v>245</v></c><c r="K170" s="229"/><c r="L170" s="229"/></row><row r="171" spans="1:12" s="10" customFormat="1" ht="24" x14ac:dyDescent="0.25"><c r="A171" s="20" t="str"><f t="shared" si="4"/><v>META DE POUPANÇA DE ENERGIA EM 2020 [MWh/ano]</v></c><c r="B171" s="229" t="s"><v>109</v></c><c r="C171" s="229" t="s"><v>129</v></c><c r="D171" s="229" t="s"><v>1098</v></c><c r="E171" s="229" t="str"><f t="shared" si="5"/><v>ENERGY SAVINGS TARGET IN 2020 [MWh/year]</v></c><c r="F171" s="229" t="s"><v>359</v></c><c r="G171" s="229" t="s"><v>1416</v></c><c r="H171" s="229" t="s"><v>187</v></c><c r="I171" s="229" t="s"><v>1315</v></c><c r="J171" s="229" t="s"><v>246</v></c><c r="K171" s="229"/><c r="L171" s="229"/></row><row r="172" spans="1:12" s="10" customFormat="1" ht="24" x14ac:dyDescent="0.25"><c r="A172" s="20" t="str"><f t="shared" si="4"/><v>META DE AUMENTO DE ENERGIA RENOVÁVEL EM 2020 [MWh/ano]</v></c><c r="B172" s="229" t="s"><v>1469</v></c><c r="C172" s="229" t="s"><v>1470</v></c><c r="D172" s="229" t="s"><v>1099</v></c><c r="E172" s="229" t="str"><f t="shared" si="5"/><v>RENEWABLE ENERGY INCREASE TARGET IN 2020 [MWh/year]</v></c><c r="F172" s="229" t="s"><v>1472</v></c><c r="G172" s="229" t="s"><v>1476</v></c><c r="H172" s="229" t="s"><v>1480</v></c><c r="I172" s="229" t="s"><v>1478</v></c><c r="J172" s="229" t="s"><v>247</v></c><c r="K172" s="229"/><c r="L172" s="229"/></row><row r="173" spans="1:12" s="10" customFormat="1" ht="25.5" x14ac:dyDescent="0.25"><c r="A173" s="20" t="str"><f t="shared" si="4"/><v>META DE REDUÇÃO DE EMISSÕES DE CO2 EM 2020 [t/ano]</v></c><c r="B173" s="229" t="s"><v>110</v></c><c r="C173" s="229" t="s"><v>130</v></c><c r="D173" s="229" t="s"><v>1100</v></c><c r="E173" s="229" t="str"><f t="shared" si="5"/><v>CO2 REDUCTION TARGET IN 2020 [ton/year]</v></c><c r="F173" s="229" t="s"><v>358</v></c><c r="G173" s="229" t="s"><v>1417</v></c><c r="H173" s="229" t="s"><v>188</v></c><c r="I173" s="229" t="s"><v>1316</v></c><c r="J173" s="229" t="s"><v>248</v></c><c r="K173" s="229"/><c r="L173" s="229"/></row><row r="174" spans="1:12" s="10" customFormat="1" ht="24" x14ac:dyDescent="0.25"><c r="A174" s="20" t="str"><f t="shared" si="4"/><v>PRODUÇÃO DE ENERGIA SECUNDÁRIA E FLUXOS ENERGÉTICOS</v></c><c r="B174" s="229" t="s"><v>84</v></c><c r="C174" s="229" t="s"><v>85</v></c><c r="D174" s="229" t="s"><v>1049</v></c><c r="E174" s="229" t="str"><f t="shared" si="5"/><v>SECONDARY ENERGY PRODUCTION AND ENERGY FLUXES</v></c><c r="F174" s="229" t="s"><v>329</v></c><c r="G174" s="229" t="s"><v>1418</v></c><c r="H174" s="229" t="s"><v>204</v></c><c r="I174" s="229" t="s"><v>1317</v></c><c r="J174" s="229" t="s"><v>265</v></c><c r="K174" s="229"/><c r="L174" s="229"/></row><row r="175" spans="1:12" s="10" customFormat="1" ht="12" x14ac:dyDescent="0.25"><c r="A175" s="20" t="str"><f t="shared" si="4"/><v>Electricidade (não renovável)</v></c><c r="B175" s="9" t="s"><v>96</v></c><c r="C175" s="9" t="s"><v>99</v></c><c r="D175" s="9" t="s"><v>1101</v></c><c r="E175" s="9" t="str"><f t="shared" si="5"/><v>Electricity (non-renewable)</v></c><c r="F175" s="9" t="s"><v>330</v></c><c r="G175" s="9" t="s"><v>1419</v></c><c r="H175" s="9" t="s"><v>205</v></c><c r="I175" s="9" t="s"><v>1318</v></c><c r="J175" s="9" t="s"><v>266</v></c><c r="K175" s="9"/><c r="L175" s="9"/></row><row r="176" spans="1:12" s="10" customFormat="1" ht="12" x14ac:dyDescent="0.25"><c r="A176" s="20" t="str"><f t="shared" si="4"/><v>Calor (não renovável)</v></c><c r="B176" s="9" t="s"><v>97</v></c><c r="C176" s="9" t="s"><v>100</v></c><c r="D176" s="9" t="s"><v>1102</v></c><c r="E176" s="9" t="str"><f t="shared" si="5"/><v>Heat (non-renewable)</v></c><c r="F176" s="9" t="s"><v>331</v></c><c r="G176" s="9" t="s"><v>1420</v></c><c r="H176" s="9" t="s"><v>206</v></c><c r="I176" s="9" t="s"><v>1319</v></c><c r="J176" s="9" t="s"><v>267</v></c><c r="K176" s="9"/><c r="L176" s="9"/></row><row r="177" spans="1:12" s="10" customFormat="1" ht="12" x14ac:dyDescent="0.25"><c r="A177" s="20" t="str"><f t="shared" si="4"/><v>Frio (não renovável)</v></c><c r="B177" s="9" t="s"><v>98</v></c><c r="C177" s="9" t="s"><v>101</v></c><c r="D177" s="9" t="s"><v>1103</v></c><c r="E177" s="9" t="str"><f t="shared" si="5"/><v>Cold (non-renewable)</v></c><c r="F177" s="9" t="s"><v>332</v></c><c r="G177" s="9" t="s"><v>1421</v></c><c r="H177" s="9" t="s"><v>207</v></c><c r="I177" s="9" t="s"><v>1320</v></c><c r="J177" s="9" t="s"><v>268</v></c><c r="K177" s="9"/><c r="L177" s="9"/></row><row r="178" spans="1:12" s="10" customFormat="1" ht="12" x14ac:dyDescent="0.25"><c r="A178" s="20" t="str"><f t="shared" si="4"/><v>Hídrica</v></c><c r="B178" s="9" t="s"><v>70</v></c><c r="C178" s="9" t="s"><v>71</v></c><c r="D178" s="9" t="s"><v>1040</v></c><c r="E178" s="9" t="str"><f t="shared" si="5"/><v>Hydro</v></c><c r="F178" s="9" t="s"><v>333</v></c><c r="G178" s="9" t="s"><v>161</v></c><c r="H178" s="9" t="s"><v>70</v></c><c r="I178" s="9" t="s"><v>1255</v></c><c r="J178" s="9" t="s"><v>269</v></c><c r="K178" s="9"/><c r="L178" s="9"/></row><row r="179" spans="1:12" s="10" customFormat="1" ht="12" x14ac:dyDescent="0.25"><c r="A179" s="20" t="str"><f t="shared" si="4"/><v>Eólica</v></c><c r="B179" s="9" t="s"><v>72</v></c><c r="C179" s="9" t="s"><v>73</v></c><c r="D179" s="9" t="s"><v>1041</v></c><c r="E179" s="9" t="str"><f t="shared" si="5"/><v>Wind</v></c><c r="F179" s="9" t="s"><v>334</v></c><c r="G179" s="9" t="s"><v>162</v></c><c r="H179" s="9" t="s"><v>208</v></c><c r="I179" s="9" t="s"><v>1256</v></c><c r="J179" s="9" t="s"><v>270</v></c><c r="K179" s="9"/><c r="L179" s="9"/></row><row r="180" spans="1:12" s="10" customFormat="1" ht="12" x14ac:dyDescent="0.25"><c r="A180" s="20" t="str"><f t="shared" si="4"/><v>Solar</v></c><c r="B180" s="9" t="s"><v>74</v></c><c r="C180" s="9" t="s"><v>74</v></c><c r="D180" s="9" t="s"><v>74</v></c><c r="E180" s="9" t="str"><f t="shared" si="5"/><v>Solar</v></c><c r="F180" s="9" t="s"><v>335</v></c><c r="G180" s="9" t="s"><v>163</v></c><c r="H180" s="9" t="s"><v>74</v></c><c r="I180" s="9" t="s"><v>1257</v></c><c r="J180" s="9" t="s"><v>271</v></c><c r="K180" s="9"/><c r="L180" s="9"/></row><row r="181" spans="1:12" s="10" customFormat="1" ht="12" x14ac:dyDescent="0.25"><c r="A181" s="20" t="str"><f t="shared" si="4"/><v>Geotérmica</v></c><c r="B181" s="9" t="s"><v>75</v></c><c r="C181" s="9" t="s"><v>76</v></c><c r="D181" s="9" t="s"><v>76</v></c><c r="E181" s="9" t="str"><f t="shared" si="5"/><v>Geothermal</v></c><c r="F181" s="9" t="s"><v>336</v></c><c r="G181" s="9" t="s"><v>164</v></c><c r="H181" s="9" t="s"><v>209</v></c><c r="I181" s="9" t="s"><v>1258</v></c><c r="J181" s="9" t="s"><v>272</v></c><c r="K181" s="9"/><c r="L181" s="9"/></row><row r="182" spans="1:12" s="10" customFormat="1" ht="12" x14ac:dyDescent="0.25"><c r="A182" s="20" t="str"><f t="shared" si="4"/><v>Oceânica</v></c><c r="B182" s="9" t="s"><v>77</v></c><c r="C182" s="9" t="s"><v>78</v></c><c r="D182" s="9" t="s"><v>1042</v></c><c r="E182" s="9" t="str"><f t="shared" si="5"/><v>Ocean</v></c><c r="F182" s="9" t="s"><v>337</v></c><c r="G182" s="9" t="s"><v>1422</v></c><c r="H182" s="9" t="s"><v>77</v></c><c r="I182" s="9" t="s"><v>1259</v></c><c r="J182" s="9" t="s"><v>273</v></c><c r="K182" s="9"/><c r="L182" s="9"/></row><row r="183" spans="1:12" s="10" customFormat="1" ht="12" x14ac:dyDescent="0.25"><c r="A183" s="20" t="str"><f t="shared" si="4"/><v>Biomassa</v></c><c r="B183" s="9" t="s"><v>79</v></c><c r="C183" s="9" t="s"><v>80</v></c><c r="D183" s="9" t="s"><v>1043</v></c><c r="E183" s="9" t="str"><f t="shared" si="5"/><v>Biomass</v></c><c r="F183" s="9" t="s"><v>338</v></c><c r="G183" s="9" t="s"><v>379</v></c><c r="H183" s="9" t="s"><v>210</v></c><c r="I183" s="9" t="s"><v>80</v></c><c r="J183" s="9" t="s"><v>79</v></c><c r="K183" s="9"/><c r="L183" s="9"/></row><row r="184" spans="1:12" s="10" customFormat="1" ht="12" x14ac:dyDescent="0.25"><c r="A184" s="20" t="str"><f t="shared" si="4"/><v>Resíduos urbanos</v></c><c r="B184" s="9" t="s"><v>81</v></c><c r="C184" s="9" t="s"><v>82</v></c><c r="D184" s="9" t="s"><v>1104</v></c><c r="E184" s="9" t="str"><f t="shared" si="5"/><v>Urban waste</v></c><c r="F184" s="9" t="s"><v>339</v></c><c r="G184" s="9" t="s"><v>165</v></c><c r="H184" s="9" t="s"><v>211</v></c><c r="I184" s="9" t="s"><v>1260</v></c><c r="J184" s="9" t="s"><v>274</v></c><c r="K184" s="9"/><c r="L184" s="9"/></row><row r="185" spans="1:12" s="10" customFormat="1" ht="12" x14ac:dyDescent="0.25"><c r="A185" s="20" t="str"><f t="shared" si="4"/><v>Armazenamento</v></c><c r="B185" s="9" t="s"><v>86</v></c><c r="C185" s="9" t="s"><v>87</v></c><c r="D185" s="9" t="s"><v>1059</v></c><c r="E185" s="9" t="str"><f t="shared" si="5"/><v>Storage</v></c><c r="F185" s="9" t="s"><v>340</v></c><c r="G185" s="9" t="s"><v>166</v></c><c r="H185" s="9" t="s"><v>166</v></c><c r="I185" s="9" t="s"><v>1276</v></c><c r="J185" s="9" t="s"><v>275</v></c><c r="K185" s="9"/><c r="L185" s="9"/></row><row r="186" spans="1:12" s="10" customFormat="1" ht="12" x14ac:dyDescent="0.25"><c r="A186" s="20" t="str"><f t="shared" si="4"/><v>Ligação externa</v></c><c r="B186" s="9" t="s"><v>88</v></c><c r="C186" s="9" t="s"><v>89</v></c><c r="D186" s="9" t="s"><v>1062</v></c><c r="E186" s="9" t="str"><f t="shared" si="5"/><v>External connection</v></c><c r="F186" s="9" t="s"><v>341</v></c><c r="G186" s="9" t="s"><v>167</v></c><c r="H186" s="9" t="s"><v>212</v></c><c r="I186" s="9" t="s"><v>1321</v></c><c r="J186" s="9" t="s"><v>276</v></c><c r="K186" s="9"/><c r="L186" s="9"/></row><row r="187" spans="1:12" s="10" customFormat="1" ht="24" x14ac:dyDescent="0.25"><c r="A187" s="20" t="str"><f t="shared" si="4"/><v>Perdas de distribuição e consumos próprios</v></c><c r="B187" s="9" t="s"><v>90</v></c><c r="C187" s="9" t="s"><v>91</v></c><c r="D187" s="9" t="s"><v>1066</v></c><c r="E187" s="9" t="str"><f t="shared" si="5"/><v>Distribution losses and self-consumption</v></c><c r="F187" s="9" t="s"><v>342</v></c><c r="G187" s="9" t="s"><v>380</v></c><c r="H187" s="9" t="s"><v>213</v></c><c r="I187" s="9" t="s"><v>1283</v></c><c r="J187" s="9" t="s"><v>277</v></c><c r="K187" s="9"/><c r="L187" s="9"/></row><row r="188" spans="1:12" s="10" customFormat="1" ht="12" x14ac:dyDescent="0.25"><c r="A188" s="20" t="str"><f t="shared" si="4"/><v>ORDENAMENTO DO TERRITÓRIO</v></c><c r="B188" s="229" t="s"><v>111</v></c><c r="C188" s="229" t="s"><v>131</v></c><c r="D188" s="229" t="s"><v>1105</v></c><c r="E188" s="229" t="str"><f t="shared" si="5"/><v>LAND USE PLANNING</v></c><c r="F188" s="229" t="s"><v>343</v></c><c r="G188" s="229" t="s"><v>1423</v></c><c r="H188" s="229" t="s"><v>215</v></c><c r="I188" s="229" t="s"><v>1322</v></c><c r="J188" s="229" t="s"><v>278</v></c><c r="K188" s="229"/><c r="L188" s="229"/></row><row r="189" spans="1:12" s="10" customFormat="1" ht="12" customHeight="1" x14ac:dyDescent="0.25"><c r="A189" s="20" t="str"><f t="shared" si="4"/><v>Planeamento estratégico local e regional</v></c><c r="B189" s="9" t="s"><v>112</v></c><c r="C189" s="9" t="s"><v>135</v></c><c r="D189" s="9" t="s"><v>1106</v></c><c r="E189" s="9" t="str"><f t="shared" si="5"/><v>Regional and local strategic planning</v></c><c r="F189" s="9" t="s"><v>344</v></c><c r="G189" s="9" t="s"><v>381</v></c><c r="H189" s="9" t="s"><v>216</v></c><c r="I189" s="9" t="s"><v>1323</v></c><c r="J189" s="9" t="s"><v>279</v></c><c r="K189" s="9"/><c r="L189" s="9"/></row><row r="190" spans="1:12" s="10" customFormat="1" ht="12" x14ac:dyDescent="0.25"><c r="A190" s="20" t="str"><f t="shared" si="4"/><v>Planeamento de transportes e mobilidade</v></c><c r="B190" s="9" t="s"><v>113</v></c><c r="C190" s="9" t="s"><v>136</v></c><c r="D190" s="9" t="s"><v>1107</v></c><c r="E190" s="9" t="str"><f t="shared" si="5"/><v>Transports and mobility planning</v></c><c r="F190" s="9" t="s"><v>345</v></c><c r="G190" s="9" t="s"><v>168</v></c><c r="H190" s="9" t="s"><v>217</v></c><c r="I190" s="9" t="s"><v>1324</v></c><c r="J190" s="9" t="s"><v>367</v></c><c r="K190" s="9"/><c r="L190" s="9"/></row><row r="191" spans="1:12" s="10" customFormat="1" ht="12" x14ac:dyDescent="0.25"><c r="A191" s="20" t="str"><f t="shared" si="4"/><v>Planeamento de infraestruturas energéticas</v></c><c r="B191" s="9" t="s"><v>360</v></c><c r="C191" s="9" t="s"><v>951</v></c><c r="D191" s="9" t="s"><v>1108</v></c><c r="E191" s="9" t="str"><f t="shared" si="5"/><v>Energy infrastructures planning</v></c><c r="F191" s="9" t="s"><v>386</v></c><c r="G191" s="9" t="s"><v>1424</v></c><c r="H191" s="9" t="s"><v>1159</v></c><c r="I191" s="9" t="s"><v>1325</v></c><c r="J191" s="9" t="s"><v>368</v></c><c r="K191" s="9"/><c r="L191" s="9"/></row><row r="192" spans="1:12" s="10" customFormat="1" ht="24" x14ac:dyDescent="0.25"><c r="A192" s="20" t="str"><f t="shared" si="4"/><v>Planeamento territorial das energias renováveis</v></c><c r="B192" s="9" t="s"><v>361</v></c><c r="C192" s="9" t="s"><v>362</v></c><c r="D192" s="9" t="s"><v>1109</v></c><c r="E192" s="9" t="str"><f t="shared" si="5"/><v>Renewable energy land use planning</v></c><c r="F192" s="9" t="s"><v>387</v></c><c r="G192" s="9" t="s"><v>382</v></c><c r="H192" s="9" t="s"><v>1160</v></c><c r="I192" s="9" t="s"><v>1326</v></c><c r="J192" s="9" t="s"><v>369</v></c><c r="K192" s="9"/><c r="L192" s="9"/></row><row r="193" spans="1:12" s="10" customFormat="1" ht="24" x14ac:dyDescent="0.25"><c r="A193" s="20" t="str"><f t="shared" si="4"/><v>CONTRATOS PÚBLICOS DE EMPREITADAS, BENS E SERVIÇOS</v></c><c r="B193" s="229" t="s"><v>114</v></c><c r="C193" s="229" t="s"><v>1482</v></c><c r="D193" s="229" t="s"><v>1110</v></c><c r="E193" s="229" t="str"><f t="shared" si="5"/><v>PUBLIC PROCUREMENT OF PRODUCTS AND SERVICES</v></c><c r="F193" s="229" t="s"><v>346</v></c><c r="G193" s="229" t="s"><v>1425</v></c><c r="H193" s="229" t="s"><v>218</v></c><c r="I193" s="229" t="s"><v>1327</v></c><c r="J193" s="229" t="s"><v>280</v></c><c r="K193" s="229"/><c r="L193" s="229"/></row><row r="194" spans="1:12" s="10" customFormat="1" ht="12" x14ac:dyDescent="0.25"><c r="A194" s="20" t="str"><f t="shared" si="4"/><v>Requisitos e standards para eficiência energética</v></c><c r="B194" s="9" t="s"><v>5</v></c><c r="C194" s="9" t="s"><v>137</v></c><c r="D194" s="9" t="s"><v>1111</v></c><c r="E194" s="9" t="str"><f t="shared" si="5"/><v>Energy efficiency requirements/standards</v></c><c r="F194" s="9" t="s"><v>347</v></c><c r="G194" s="9" t="s"><v>1351</v></c><c r="H194" s="9" t="s"><v>391</v></c><c r="I194" s="9" t="s"><v>1328</v></c><c r="J194" s="9" t="s"><v>281</v></c><c r="K194" s="9"/><c r="L194" s="9"/></row><row r="195" spans="1:12" s="10" customFormat="1" ht="12" x14ac:dyDescent="0.25"><c r="A195" s="20" t="str"><f t="shared" si="4"/><v>Requisitos e standards para energias renováveis</v></c><c r="B195" s="9" t="s"><v>6</v></c><c r="C195" s="9" t="s"><v>138</v></c><c r="D195" s="9" t="s"><v>1112</v></c><c r="E195" s="9" t="str"><f t="shared" si="5"/><v>Renewable energy requirements/standards</v></c><c r="F195" s="9" t="s"><v>348</v></c><c r="G195" s="9" t="s"><v>1426</v></c><c r="H195" s="9" t="s"><v>219</v></c><c r="I195" s="9" t="s"><v>1329</v></c><c r="J195" s="9" t="s"><v>282</v></c><c r="K195" s="9"/><c r="L195" s="9"/></row><row r="196" spans="1:12" s="10" customFormat="1" ht="12" x14ac:dyDescent="0.25"><c r="A196" s="20" t="str"><f t="shared" si="4"/><v>CIDADÃOS E PARTES INTERESSADAS</v></c><c r="B196" s="229" t="s"><v>133</v></c><c r="C196" s="229" t="s"><v>132</v></c><c r="D196" s="229" t="s"><v>1113</v></c><c r="E196" s="229" t="str"><f t="shared" si="5"/><v>CITIZENS AND STAKEHOLDERS</v></c><c r="F196" s="229" t="s"><v>349</v></c><c r="G196" s="229" t="s"><v>169</v></c><c r="H196" s="229" t="s"><v>220</v></c><c r="I196" s="229" t="s"><v>1330</v></c><c r="J196" s="229" t="s"><v>283</v></c><c r="K196" s="229"/><c r="L196" s="229"/></row><row r="197" spans="1:12" s="10" customFormat="1" ht="12" x14ac:dyDescent="0.25"><c r="A197" s="20" t="str"><f t="shared" si="4"/><v>Serviços de aconselhamento</v></c><c r="B197" s="9" t="s"><v>7</v></c><c r="C197" s="9" t="s"><v>139</v></c><c r="D197" s="9" t="s"><v>1114</v></c><c r="E197" s="9" t="str"><f t="shared" si="5"/><v>Advisory services</v></c><c r="F197" s="9" t="s"><v>350</v></c><c r="G197" s="9" t="s"><v>170</v></c><c r="H197" s="9" t="s"><v>221</v></c><c r="I197" s="9" t="s"><v>1331</v></c><c r="J197" s="9" t="s"><v>284</v></c><c r="K197" s="9"/><c r="L197" s="9"/></row><row r="198" spans="1:12" s="10" customFormat="1" ht="12" x14ac:dyDescent="0.25"><c r="A198" s="20" t="str"><f t="shared" si="4"/><v>Apoios financeiros e incentivos</v></c><c r="B198" s="9" t="s"><v>8</v></c><c r="C198" s="9" t="s"><v>1483</v></c><c r="D198" s="9" t="s"><v>1115</v></c><c r="E198" s="9" t="str"><f t="shared" si="5"/><v>Financial support and grants</v></c><c r="F198" s="9" t="s"><v>351</v></c><c r="G198" s="9" t="s"><v>171</v></c><c r="H198" s="9" t="s"><v>222</v></c><c r="I198" s="9" t="s"><v>1332</v></c><c r="J198" s="9" t="s"><v>285</v></c><c r="K198" s="9"/><c r="L198" s="9"/></row><row r="199" spans="1:12" s="10" customFormat="1" ht="12" x14ac:dyDescent="0.25"><c r="A199" s="20" t="str"><f t="shared" si="4"/><v>Sensibilização e cooperação</v></c><c r="B199" s="9" t="s"><v>141</v></c><c r="C199" s="9" t="s"><v>140</v></c><c r="D199" s="9" t="s"><v>1116</v></c><c r="E199" s="9" t="str"><f t="shared" si="5"/><v>Awareness raising and networking</v></c><c r="F199" s="9" t="s"><v>352</v></c><c r="G199" s="9" t="s"><v>172</v></c><c r="H199" s="9" t="s"><v>223</v></c><c r="I199" s="9" t="s"><v>1333</v></c><c r="J199" s="9" t="s"><v>286</v></c><c r="K199" s="9"/><c r="L199" s="9"/></row><row r="200" spans="1:12" s="10" customFormat="1" ht="12" x14ac:dyDescent="0.25"><c r="A200" s="20" t="str"><f t="shared" si="4"/><v>Formação e educação</v></c><c r="B200" s="9" t="s"><v>9</v></c><c r="C200" s="9" t="s"><v>142</v></c><c r="D200" s="9" t="s"><v>1117</v></c><c r="E200" s="9" t="str"><f t="shared" si="5"/><v>Training and education</v></c><c r="F200" s="9" t="s"><v>353</v></c><c r="G200" s="9" t="s"><v>383</v></c><c r="H200" s="9" t="s"><v>224</v></c><c r="I200" s="9" t="s"><v>1334</v></c><c r="J200" s="9" t="s"><v>287</v></c><c r="K200" s="9"/><c r="L200" s="9"/></row><row r="201" spans="1:12" s="10" customFormat="1" ht="12" x14ac:dyDescent="0.25"><c r="A201" s="20" t="str"><f t="shared" ref="A201:A215" si="6">IF($A$6=$B$6,B201,"")&amp;IF($A$6=$C$6,C201,"")&amp;IF($A$6=$D$6,D201,"")&amp;IF($A$6=$E$6,E201,"")&amp;IF($A$6=$F$6,F201,"")&amp;IF($A$6=$G$6,G201,"")&amp;IF($A$6=$H$6,H201,"")&amp;IF($A$6=$I$6,I201,"")&amp;IF($A$6=$J$6,J201,"")&amp;IF($A$6=$K$6,K201,"")&amp;IF($A$6=$L$6,L201,"")</f><v>Monitorização</v></c><c r="B201" s="9" t="s"><v>363</v></c><c r="C201" s="9" t="s"><v>364</v></c><c r="D201" s="9" t="s"><v>1118</v></c><c r="E201" s="9" t="str"><f t="shared" ref="E201:E212" si="7">B201</f><v>Monitoring</v></c><c r="F201" s="9" t="s"><v>388</v></c><c r="G201" s="9" t="s"><v>384</v></c><c r="H201" s="9" t="s"><v>1161</v></c><c r="I201" s="9" t="s"><v>1335</v></c><c r="J201" s="9" t="s"><v>370</v></c><c r="K201" s="9"/><c r="L201" s="9"/></row><row r="202" spans="1:12" s="10" customFormat="1" ht="12" x14ac:dyDescent="0.25"><c r="A202" s="20" t="str"><f t="shared" si="6"/><v>Regulamentação</v></c><c r="B202" s="9" t="s"><v>1462</v></c><c r="C202" s="9" t="s"><v>366</v></c><c r="D202" s="9" t="s"><v>365</v></c><c r="E202" s="9" t="str"><f t="shared" si="7"/><v>Legislation</v></c><c r="F202" s="9" t="s"><v>389</v></c><c r="G202" s="9" t="s"><v>385</v></c><c r="H202" s="9" t="s"><v>1162</v></c><c r="I202" s="9" t="s"><v>1336</v></c><c r="J202" s="9" t="s"><v>371</v></c><c r="K202" s="9"/><c r="L202" s="9"/></row><row r="203" spans="1:12" s="10" customFormat="1" ht="12" x14ac:dyDescent="0.25"><c r="A203" s="20" t="str"><f t="shared" si="6"/><v>OUTROS SECTORES (por favor, especificar)</v></c><c r="B203" s="9" t="s"><v>115</v></c><c r="C203" s="9" t="s"><v>143</v></c><c r="D203" s="9" t="s"><v>1119</v></c><c r="E203" s="9" t="str"><f t="shared" si="7"/><v>OTHER SECTORS (please specify)</v></c><c r="F203" s="9" t="s"><v>354</v></c><c r="G203" s="9" t="s"><v>173</v></c><c r="H203" s="9" t="s"><v>225</v></c><c r="I203" s="9" t="s"><v>1337</v></c><c r="J203" s="9" t="s"><v>288</v></c><c r="K203" s="9"/><c r="L203" s="9"/></row><row r="204" spans="1:12" s="10" customFormat="1" ht="12" x14ac:dyDescent="0.25"><c r="A204" s="20" t="str"><f t="shared" si="6"/><v>…</v></c><c r="B204" s="9" t="s"><v>19</v></c><c r="C204" s="9" t="s"><v>19</v></c><c r="D204" s="9" t="s"><v>214</v></c><c r="E204" s="9" t="str"><f t="shared" si="7"/><v>…</v></c><c r="F204" s="9" t="s"><v>19</v></c><c r="G204" s="9" t="s"><v>19</v></c><c r="H204" s="9" t="s"><v>214</v></c><c r="I204" s="9" t="s"><v>19</v></c><c r="J204" s="9" t="s"><v>19</v></c><c r="K204" s="9" t="s"><v>19</v></c><c r="L204" s="9" t="s"><v>19</v></c></row><row r="205" spans="1:12" s="10" customFormat="1" ht="12" x14ac:dyDescent="0.25"><c r="A205" s="20" t="str"><f t="shared" si="6"/><v>…</v></c><c r="B205" s="9" t="s"><v>19</v></c><c r="C205" s="9" t="s"><v>19</v></c><c r="D205" s="9" t="s"><v>214</v></c><c r="E205" s="9" t="str"><f t="shared" si="7"/><v>…</v></c><c r="F205" s="9" t="s"><v>19</v></c><c r="G205" s="9" t="s"><v>19</v></c><c r="H205" s="9" t="s"><v>214</v></c><c r="I205" s="9" t="s"><v>19</v></c><c r="J205" s="9" t="s"><v>19</v></c><c r="K205" s="9" t="s"><v>19</v></c><c r="L205" s="9" t="s"><v>19</v></c></row><row r="206" spans="1:12" s="10" customFormat="1" ht="12" x14ac:dyDescent="0.25"><c r="A206" s="20" t="str"><f t="shared" si="6"/><v>…</v></c><c r="B206" s="9" t="s"><v>19</v></c><c r="C206" s="9" t="s"><v>19</v></c><c r="D206" s="9" t="s"><v>214</v></c><c r="E206" s="9" t="str"><f t="shared" si="7"/><v>…</v></c><c r="F206" s="9" t="s"><v>19</v></c><c r="G206" s="9" t="s"><v>19</v></c><c r="H206" s="9" t="s"><v>214</v></c><c r="I206" s="9" t="s"><v>19</v></c><c r="J206" s="9" t="s"><v>19</v></c><c r="K206" s="9" t="s"><v>19</v></c><c r="L206" s="9" t="s"><v>19</v></c></row><row r="207" spans="1:12" s="10" customFormat="1" ht="12" x14ac:dyDescent="0.25"><c r="A207" s="20" t="str"><f t="shared" si="6"/><v>…</v></c><c r="B207" s="9" t="s"><v>19</v></c><c r="C207" s="9" t="s"><v>19</v></c><c r="D207" s="9" t="s"><v>214</v></c><c r="E207" s="9" t="str"><f t="shared" si="7"/><v>…</v></c><c r="F207" s="9" t="s"><v>19</v></c><c r="G207" s="9" t="s"><v>19</v></c><c r="H207" s="9" t="s"><v>214</v></c><c r="I207" s="9" t="s"><v>19</v></c><c r="J207" s="9" t="s"><v>19</v></c><c r="K207" s="9" t="s"><v>19</v></c><c r="L207" s="9" t="s"><v>19</v></c></row><row r="208" spans="1:12" s="10" customFormat="1" ht="12" x14ac:dyDescent="0.25"><c r="A208" s="20" t="str"><f t="shared" si="6"/><v>…</v></c><c r="B208" s="9" t="s"><v>19</v></c><c r="C208" s="9" t="s"><v>19</v></c><c r="D208" s="9" t="s"><v>214</v></c><c r="E208" s="9" t="str"><f t="shared" si="7"/><v>…</v></c><c r="F208" s="9" t="s"><v>19</v></c><c r="G208" s="9" t="s"><v>19</v></c><c r="H208" s="9" t="s"><v>214</v></c><c r="I208" s="9" t="s"><v>19</v></c><c r="J208" s="9" t="s"><v>19</v></c><c r="K208" s="9" t="s"><v>19</v></c><c r="L208" s="9" t="s"><v>19</v></c></row><row r="209" spans="1:12" s="10" customFormat="1" ht="12" x14ac:dyDescent="0.25"><c r="A209" s="20" t="str"><f t="shared" si="6"/><v>TOTAL</v></c><c r="B209" s="229" t="s"><v>83</v></c><c r="C209" s="229" t="s"><v>83</v></c><c r="D209" s="229" t="s"><v>1048</v></c><c r="E209" s="229" t="str"><f t="shared" si="7"/><v>TOTAL</v></c><c r="F209" s="229" t="s"><v>355</v></c><c r="G209" s="229" t="s"><v>83</v></c><c r="H209" s="229" t="s"><v>83</v></c><c r="I209" s="229" t="s"><v>1264</v></c><c r="J209" s="229" t="s"><v>289</v></c><c r="K209" s="229"/><c r="L209" s="229"/></row><row r="210" spans="1:12" s="10" customFormat="1" ht="12" x14ac:dyDescent="0.25"><c r="A210" s="20" t="str"><f t="shared" si="6"/><v>WEBSITE</v></c><c r="B210" s="229" t="s"><v>845</v></c><c r="C210" s="229" t="s"><v>845</v></c><c r="D210" s="229" t="s"><v>1120</v></c><c r="E210" s="229" t="str"><f t="shared" si="7"/><v>WEBSITE</v></c><c r="F210" s="229" t="s"><v>946</v></c><c r="G210" s="229" t="s"><v>846</v></c><c r="H210" s="229" t="s"><v>847</v></c><c r="I210" s="229" t="s"><v>1338</v></c><c r="J210" s="229" t="s"><v>848</v></c><c r="K210" s="229"/><c r="L210" s="229"/></row><row r="211" spans="1:12" s="10" customFormat="1" ht="24" x14ac:dyDescent="0.25"><c r="A211" s="20" t="str"><f t="shared" si="6"/><v>Ligação para o website dedicado ao ISEAP (se existir)</v></c><c r="B211" s="229" t="s"><v>120</v></c><c r="C211" s="229" t="s"><v>134</v></c><c r="D211" s="229" t="s"><v>1121</v></c><c r="E211" s="229" t="str"><f t="shared" si="7"/><v>Direct link to the webpage dedicated to ISEAP (if any)</v></c><c r="F211" s="229" t="s"><v>356</v></c><c r="G211" s="229" t="s"><v>1427</v></c><c r="H211" s="229" t="s"><v>226</v></c><c r="I211" s="229" t="s"><v>1339</v></c><c r="J211" s="229" t="s"><v>290</v></c><c r="K211" s="229"/><c r="L211" s="229"/></row><row r="212" spans="1:12" s="10" customFormat="1" ht="84" x14ac:dyDescent="0.25"><c r="A212" s="20" t="str"><f t="shared" si="6"/><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B212" s="229" t="s"><v>829</v></c><c r="C212" s="229" t="s"><v>828</v></c><c r="D212" s="229" t="s"><v>1122</v></c><c r="E212" s="229" t="str"><f t="shared" si="7"/><v>DISCLAIMER: The sole responsibility for the content of this document lies with the authors. It does not necessarily reflect the opinion of the European Communities. The European Commission is not responsible for any use that may be made of the information contained therein.</v></c><c r="F212" s="229" t="s"><v>357</v></c><c r="G212" s="229" t="s"><v>1428</v></c><c r="H212" s="229" t="s"><v>227</v></c><c r="I212" s="229" t="s"><v>1340</v></c><c r="J212" s="229" t="s"><v>291</v></c><c r="K212" s="229"/><c r="L212" s="229"/></row><row r="213" spans="1:12" s="213" customFormat="1" ht="336" x14ac:dyDescent="0.25"><c r="A213" s="201" t="str"><f t="shared" si="6"/><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13" s="231" t="s"><v>1500</v></c><c r="C213" s="232" t="s"><v>1501</v></c><c r="D213" s="233" t="s"><v>1502</v></c><c r="E213" s="233" t="str"><f t="shared" ref="E213:E215" si="8">$B213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F213" s="231" t="s"><v>1503</v></c><c r="G213" s="231" t="s"><v>1509</v></c><c r="H213" s="233" t="str"><f t="shared" ref="G213:L215" si="9">$B213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1508</v></c><c r="K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36" x14ac:dyDescent="0.25"><c r="A214" s="201" t="str"><f t="shared" si="6"/><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14" s="231" t="s"><v>1493</v></c><c r="C214" s="232" t="s"><v>1498</v></c><c r="D214" s="229" t="s"><v>1497</v></c><c r="E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F214" s="231" t="s"><v>1504</v></c><c r="G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H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1506</v></c><c r="K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6"/><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15" s="231" t="s"><v>1494</v></c><c r="C215" s="232" t="s"><v>1495</v></c><c r="D215" s="229" t="s"><v>1496</v></c><c r="E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F215" s="231" t="s"><v>1505</v></c><c r="G215" s="231" t="s"><v>1510</v></c><c r="H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1507</v></c><c r="K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0" t="str"><f>Translation!$A$31</f><v>Plano de Acção para a Energia Sustentável nas Ilhas (PAES)</v></c><c r="C1" s="250"/><c r="D1" s="250"/><c r="E1" s="250"/><c r="F1" s="250"/><c r="G1" s="250"/><c r="H1" s="250"/><c r="I1" s="250"/><c r="J1" s="250"/><c r="K1" s="250"/><c r="L1" s="250"/><c r="M1" s="250"/><c r="N1" s="250"/><c r="O1" s="250"/><c r="P1" s="250"/><c r="Q1" s="250"/><c r="R1" s="250"/><c r="S1" s="250"/><c r="T1" s="250"/></row><row r="2" spans="1:22" s="21" customFormat="1" ht="28.5" customHeight="1" x14ac:dyDescent="0.25"><c r="A2" s="251" t="s"><v>1465</v></c><c r="B2" s="251"/><c r="C2" s="251"/><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FACTORES DE EMISSÃO DE CO2</v></c><c r="B4" s="163"/><c r="T4" s="165" t="str"><f>'Start here'!G8</f><v>[t CO2/MWh]</v></c></row><row r="5" spans="1:22" ht="15" customHeight="1" x14ac:dyDescent="0.25"><c r="A5" s="254"/><c r="B5" s="254"/><c r="C5" s="259" t="str"><f>Translation!A99</f><v>Combustíveis fósseis</v></c><c r="D5" s="259"/><c r="E5" s="259"/><c r="F5" s="259"/><c r="G5" s="259"/><c r="H5" s="259"/><c r="I5" s="259"/><c r="J5" s="259" t="str"><f>Translation!A108</f><v>Fontes energéticas renováveis</v></c><c r="K5" s="259"/><c r="L5" s="259"/><c r="M5" s="259"/><c r="N5" s="259"/><c r="O5" s="259"/><c r="P5" s="259"/><c r="Q5" s="259"/><c r="R5" s="259"/><c r="S5" s="254" t="str"><f>Translation!A124</f><v>Electricidade</v></c><c r="T5" s="254"/><c r="U5" s="166"/><c r="V5" s="257" t="s"><v>522</v></c></row><row r="6" spans="1:22" ht="49.5" customHeight="1" x14ac:dyDescent="0.25"><c r="A6" s="254"/><c r="B6" s="254"/><c r="C6" s="106" t="str"><f>Translation!A100</f><v>Fuelóleo</v></c><c r="D6" s="106" t="str"><f>Translation!A101</f><v>Gasóleo</v></c><c r="E6" s="106" t="str"><f>Translation!A102</f><v>Gasolina</v></c><c r="F6" s="106" t="str"><f>Translation!A103</f><v>GPL</v></c><c r="G6" s="106" t="str"><f>Translation!A104</f><v>Gás natural</v></c><c r="H6" s="106" t="str"><f>Translation!A105</f><v>Carvão</v></c><c r="I6" s="167" t="s"><v>522</v></c><c r="J6" s="106" t="str"><f>Translation!A109</f><v>Hídrica</v></c><c r="K6" s="106" t="str"><f>Translation!A110</f><v>Eólica</v></c><c r="L6" s="106" t="str"><f>Translation!A111</f><v>Solar</v></c><c r="M6" s="106" t="str"><f>Translation!A112</f><v>Geotérmica</v></c><c r="N6" s="106" t="str"><f>Translation!A113</f><v>Oceânica</v></c><c r="O6" s="106" t="str"><f>Translation!A114</f><v>Biomassa</v></c><c r="P6" s="106" t="str"><f>Translation!A115</f><v>Resíduos urbanos</v></c><c r="Q6" s="106" t="str"><f>Translation!A116</f><v>Recuperação de energia</v></c><c r="R6" s="106" t="s"><v>522</v></c><c r="S6" s="106" t="str"><f>Translation!A145</f><v>Electricidade importada (cabo)</v></c><c r="T6" s="106" t="str"><f>Translation!A146</f><v>Electricidade exportada (cabo)</v></c><c r="U6" s="168" t="s"><v>522</v></c><c r="V6" s="258"/></row><row r="7" spans="1:22" s="164" customFormat="1" ht="20.25" customHeight="1" x14ac:dyDescent="0.25"><c r="A7" s="255" t="str"><f>'Start here'!F7</f><v>Factores de emissão IPCC</v></c><c r="B7" s="256"/><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52" t="str"><f>Translation!A14</f><v>Factores de emissão IPCC</v></c><c r="B9" s="253"/><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52" t="str"><f>Translation!A15</f><v>Factores de emissão com Análise do Ciclo de Vida (LCA)</v></c><c r="B10" s="253"/><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abSelected="1" topLeftCell="A13" zoomScale="70" zoomScaleNormal="70" workbookViewID_"0"><selection activeCell="D17" sqref="D17:R17"/></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row><row r="2" spans="1:18" s="21" customFormat="1" ht="28.5" customHeight="1" x14ac:dyDescent="0.25"><c r="A2" s="77"/><c r="B2" s="212" t="s"><v>1466</v></c><c r="C2" s="77"/><c r="D2" s="77"/><c r="E2" s="77"/><c r="F2" s="78" t="str"><f>Translation!$A$10</f><v>Ilha</v></c><c r="G2" s="79" t="str"><f>'Start here'!$B$5</f><v>Pico</v></c><c r="H2" s="81"/><c r="I2" s="81"/><c r="J2" s="81"/><c r="K2" s="81"/><c r="L2" s="81"/><c r="M2" s="81"/><c r="N2" s="81"/><c r="O2" s="81"/><c r="P2" s="81"/><c r="Q2" s="81"/><c r="R2" s="81"/></row><row r="3" spans="1:18" ht="28.5" customHeight="1" x14ac:dyDescent="0.2"><c r="A3" s="263"/><c r="B3" s="263"/><c r="C3" s="263"/><c r="D3" s="263"/><c r="E3" s="263"/><c r="F3" s="263"/><c r="G3" s="263"/><c r="H3" s="263"/><c r="I3" s="263"/><c r="J3" s="118"/><c r="K3" s="118"/><c r="Q3" s="27"/></row><row r="4" spans="1:18" ht="39.75" customHeight="1" x14ac:dyDescent="0.2"><c r="A4" s="264" t="str"><f>Translation!A33</f><v>ESTRATÉGIA GLOBAL</v></c><c r="B4" s="264"/><c r="C4" s="264"/><c r="D4" s="264"/><c r="E4" s="264"/><c r="F4" s="264"/><c r="G4" s="264"/><c r="H4" s="264"/><c r="I4" s="264"/><c r="J4" s="264"/><c r="K4" s="264"/><c r="L4" s="264"/><c r="M4" s="264"/><c r="N4" s="264"/><c r="O4" s="264"/><c r="P4" s="264"/><c r="Q4" s="264"/><c r="R4" s="264"/></row><row r="5" spans="1:18" ht="21" x14ac:dyDescent="0.35"><c r="A5" s="128"/><c r="B5" s="137"/><c r="C5" s="138"/><c r="D5" s="139"/><c r="E5" s="139"/><c r="F5" s="139"/><c r="G5" s="140"/><c r="H5" s="141"/><c r="P5" s="268" t="str"><f>Translation!$A$53</f><v>Campos obrigatórios</v></c><c r="Q5" s="268"/><c r="R5" s="268"/></row><row r="6" spans="1:18" ht="31.5" x14ac:dyDescent="0.25"><c r="A6" s="156"/><c r="B6" s="157"/><c r="J6" s="158" t="str"><f>Translation!A36</f><v>Redução absoluta</v></c><c r="L6" s="158" t="str"><f>Translation!A38</f><v>Redução per capita</v></c></row><row r="7" spans="1:18" s="160" customFormat="1" ht="36" x14ac:dyDescent="0.35"><c r="A7" s="112" t="s"><v>0</v></c><c r="B7" s="266" t="str"><f>Translation!A34</f><v>META GLOBAL DE REDUÇÃO DAS EMISSÕES DE CO2 EM 2020</v></c><c r="C7" s="266"/><c r="D7" s="266"/><c r="E7" s="266"/><c r="F7" s="266"/><c r="G7" s="266"/><c r="H7" s="266"/><c r="I7" s="267"/><c r="J7" s="235"><v>0.2</v></c><c r="K7" s="159" t="str"><f>Translation!A37</f><v>ou</v></c><c r="L7" s="235"><v>0.2</v></c><c r="M7" s="265" t="str"><f>Translation!$A$35</f><v>Por favor escolha a opção pretendida</v></c><c r="N7" s="265"/><c r="O7" s="265"/></row><row r="8" spans="1:18" s="207" customFormat="1" ht="12" x14ac:dyDescent="0.2"><c r="A8" s="205"/><c r="B8" s="206"/><c r="D8" s="208"/><c r="E8" s="208"/><c r="F8" s="208"/><c r="G8" s="209"/><c r="H8" s="210"/><c r="J8" s="211"><f>IF('Baseline emission inventory'!Y143&gt;0,('Baseline emission inventory'!Y143-'Plan emission inventory in 2020'!Y143)/'Baseline emission inventory'!Y143,0)</f><v>0.1812289047394916</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0.13767725073627293</v></c></row><row r="9" spans="1:18" ht="33.75" customHeight="1" x14ac:dyDescent="0.35"><c r="A9" s="128"/><c r="B9" s="137"/><c r="C9" s="138"/><c r="D9" s="139"/><c r="E9" s="139"/><c r="F9" s="139"/><c r="G9" s="140"/><c r="H9" s="141"/></row><row r="10" spans="1:18" s="179" customFormat="1" ht="36" x14ac:dyDescent="0.55000000000000004"><c r="A10" s="112" t="s"><v>4</v></c><c r="B10" s="100" t="str"><f>Translation!A40</f><v>VISÃO A LONGO PRAZO DA AUTORIDADE LOCAL (incluir áreas prioritária, principais tendências e desafios)</v></c><c r="C10" s="176"/><c r="D10" s="177"/><c r="E10" s="176"/><c r="F10" s="177"/><c r="G10" s="176"/><c r="H10" s="178"/><c r="I10" s="178"/><c r="J10" s="178"/><c r="K10" s="178"/><c r="L10" s="178"/><c r="M10" s="178"/><c r="N10" s="178"/></row><row r="11" spans="1:18" ht="137.25" customHeight="1" x14ac:dyDescent="0.2"><c r="B11" s="260" t="s"><v>1512</v></c><c r="C11" s="261"/><c r="D11" s="261"/><c r="E11" s="261"/><c r="F11" s="261"/><c r="G11" s="261"/><c r="H11" s="261"/><c r="I11" s="261"/><c r="J11" s="261"/><c r="K11" s="261"/><c r="L11" s="261"/><c r="M11" s="261"/><c r="N11" s="261"/><c r="O11" s="261"/><c r="P11" s="261"/><c r="Q11" s="261"/><c r="R11" s="262"/></row><row r="12" spans="1:18" ht="13.5" customHeight="1" x14ac:dyDescent="0.2"><c r="B12" s="161"/><c r="C12" s="161"/><c r="D12" s="161"/><c r="E12" s="161"/><c r="F12" s="161"/><c r="G12" s="161"/><c r="H12" s="161"/><c r="I12" s="161"/></row><row r="13" spans="1:18" s="179" customFormat="1" ht="36" x14ac:dyDescent="0.55000000000000004"><c r="A13" s="112" t="s"><v>10</v></c><c r="B13" s="100" t="str"><f>Translation!A41</f><v>ASPECTOS ORGANIZACIONAIS E FINANCEIROS</v></c><c r="C13" s="178"/><c r="D13" s="178"/><c r="E13" s="178"/><c r="F13" s="178"/><c r="G13" s="178"/><c r="H13" s="178"/><c r="I13" s="178"/><c r="J13" s="178"/><c r="K13" s="178"/><c r="L13" s="178"/><c r="M13" s="178"/><c r="N13" s="178"/></row><row r="14" spans="1:18" ht="60.75" customHeight="1" x14ac:dyDescent="0.3"><c r="A14" s="144"/><c r="B14" s="273" t="str"><f>Translation!A42</f><v>Estruturas de coordenação e organização criadas/designadas</v></c><c r="C14" s="274"/><c r="D14" s="260" t="s"><v>1533</v></c><c r="E14" s="261"/><c r="F14" s="261"/><c r="G14" s="261"/><c r="H14" s="261"/><c r="I14" s="261"/><c r="J14" s="261"/><c r="K14" s="261"/><c r="L14" s="261"/><c r="M14" s="261"/><c r="N14" s="261"/><c r="O14" s="261"/><c r="P14" s="261"/><c r="Q14" s="261"/><c r="R14" s="262"/></row><row r="15" spans="1:18" ht="60.75" customHeight="1" x14ac:dyDescent="0.3"><c r="A15" s="144"/><c r="B15" s="273" t="str"><f>Translation!A43</f><v>Meios humanos alocados</v></c><c r="C15" s="274"/><c r="D15" s="260" t="s"><v>1534</v></c><c r="E15" s="261"/><c r="F15" s="261"/><c r="G15" s="261"/><c r="H15" s="261"/><c r="I15" s="261"/><c r="J15" s="261"/><c r="K15" s="261"/><c r="L15" s="261"/><c r="M15" s="261"/><c r="N15" s="261"/><c r="O15" s="261"/><c r="P15" s="261"/><c r="Q15" s="261"/><c r="R15" s="262"/></row><row r="16" spans="1:18" ht="60.75" customHeight="1" x14ac:dyDescent="0.3"><c r="A16" s="144"/><c r="B16" s="273" t="str"><f>Translation!A44</f><v>Envolvimento de partes interessadas e cidadãos</v></c><c r="C16" s="274"/><c r="D16" s="260" t="s"><v>1535</v></c><c r="E16" s="261"/><c r="F16" s="261"/><c r="G16" s="261"/><c r="H16" s="261"/><c r="I16" s="261"/><c r="J16" s="261"/><c r="K16" s="261"/><c r="L16" s="261"/><c r="M16" s="261"/><c r="N16" s="261"/><c r="O16" s="261"/><c r="P16" s="261"/><c r="Q16" s="261"/><c r="R16" s="262"/></row><row r="17" spans="1:18" ht="60.75" customHeight="1" x14ac:dyDescent="0.3"><c r="A17" s="144"/><c r="B17" s="273" t="str"><f>Translation!A45</f><v>Orçamento global estimado</v></c><c r="C17" s="274"/><c r="D17" s="260" t="s"><v>1538</v></c><c r="E17" s="261"/><c r="F17" s="261"/><c r="G17" s="261"/><c r="H17" s="261"/><c r="I17" s="261"/><c r="J17" s="261"/><c r="K17" s="261"/><c r="L17" s="261"/><c r="M17" s="261"/><c r="N17" s="261"/><c r="O17" s="261"/><c r="P17" s="261"/><c r="Q17" s="261"/><c r="R17" s="262"/></row><row r="18" spans="1:18" ht="60.75" customHeight="1" x14ac:dyDescent="0.3"><c r="A18" s="144"/><c r="B18" s="273" t="str"><f>Translation!A46</f><v>Fontes de financiamento previstas para os investimentos do plano de acção</v></c><c r="C18" s="274"/><c r="D18" s="260" t="s"><v>1536</v></c><c r="E18" s="261"/><c r="F18" s="261"/><c r="G18" s="261"/><c r="H18" s="261"/><c r="I18" s="261"/><c r="J18" s="261"/><c r="K18" s="261"/><c r="L18" s="261"/><c r="M18" s="261"/><c r="N18" s="261"/><c r="O18" s="261"/><c r="P18" s="261"/><c r="Q18" s="261"/><c r="R18" s="262"/></row><row r="19" spans="1:18" ht="60.75" customHeight="1" x14ac:dyDescent="0.3"><c r="A19" s="144"/><c r="B19" s="273" t="str"><f>Translation!A47</f><v>Medidas previstas de monitorização e acompanhamento</v></c><c r="C19" s="274"/><c r="D19" s="260" t="s"><v>1537</v></c><c r="E19" s="261"/><c r="F19" s="261"/><c r="G19" s="261"/><c r="H19" s="261"/><c r="I19" s="261"/><c r="J19" s="261"/><c r="K19" s="261"/><c r="L19" s="261"/><c r="M19" s="261"/><c r="N19" s="261"/><c r="O19" s="261"/><c r="P19" s="261"/><c r="Q19" s="261"/><c r="R19" s="262"/></row><row r="20" spans="1:18" ht="23.25" customHeight="1" x14ac:dyDescent="0.2"><c r="A20" s="144"/><c r="B20" s="161"/><c r="C20" s="161"/><c r="D20" s="161"/><c r="E20" s="161"/><c r="F20" s="161"/><c r="G20" s="161"/><c r="H20" s="161"/><c r="I20" s="161"/></row><row r="21" spans="1:18" ht="23.25" x14ac:dyDescent="0.35"><c r="A21" s="144"/><c r="B21" s="269" t="str"><f>Translation!A48</f><v xml:space="preserve">Continue na próxima página dedicada ao Inventário de Emissões do ano Base </v></c><c r="C21" s="270"/><c r="D21" s="270"/><c r="E21" s="270"/><c r="F21" s="270"/><c r="G21" s="270"/><c r="H21" s="270"/><c r="I21" s="270"/><c r="J21" s="270"/><c r="K21" s="270"/><c r="L21" s="270"/><c r="M21" s="270"/><c r="N21" s="270"/><c r="O21" s="270"/><c r="P21" s="270"/><c r="Q21" s="270"/><c r="R21" s="270"/></row><row r="22" spans="1:18" ht="13.5" customHeight="1" x14ac:dyDescent="0.2"><c r="A22" s="144"/><c r="B22" s="161"/><c r="C22" s="161"/><c r="D22" s="161"/><c r="E22" s="161"/><c r="F22" s="161"/><c r="G22" s="161"/><c r="H22" s="161"/><c r="I22" s="161"/></row><row r="23" spans="1:18" s="21" customFormat="1" ht="12.75" customHeight="1" x14ac:dyDescent="0.25"><c r="B23"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23" s="271"/><c r="D23" s="271"/><c r="E23" s="271"/><c r="F23" s="271"/><c r="G23" s="271"/><c r="H23" s="271"/><c r="I23" s="271"/><c r="J23" s="271"/><c r="K23" s="271"/><c r="L23" s="271"/><c r="M23" s="271"/><c r="N23" s="271"/><c r="O23" s="271"/><c r="P23" s="271"/><c r="Q23" s="271"/><c r="R23" s="271"/></row><row r="24" spans="1:18" s="21" customFormat="1" ht="12.75" customHeight="1" x14ac:dyDescent="0.25"><c r="B24" s="271"/><c r="C24" s="271"/><c r="D24" s="271"/><c r="E24" s="271"/><c r="F24" s="271"/><c r="G24" s="271"/><c r="H24" s="271"/><c r="I24" s="271"/><c r="J24" s="271"/><c r="K24" s="271"/><c r="L24" s="271"/><c r="M24" s="271"/><c r="N24" s="271"/><c r="O24" s="271"/><c r="P24" s="271"/><c r="Q24" s="271"/><c r="R24" s="271"/></row><row r="25" spans="1:18" s="21" customFormat="1" ht="12.75" customHeight="1" x14ac:dyDescent="0.25"><c r="B25" s="271"/><c r="C25" s="271"/><c r="D25" s="271"/><c r="E25" s="271"/><c r="F25" s="271"/><c r="G25" s="271"/><c r="H25" s="271"/><c r="I25" s="271"/><c r="J25" s="271"/><c r="K25" s="271"/><c r="L25" s="271"/><c r="M25" s="271"/><c r="N25" s="271"/><c r="O25" s="271"/><c r="P25" s="271"/><c r="Q25" s="271"/><c r="R25" s="271"/></row><row r="27" spans="1:18" s="162" customFormat="1" ht="15.75" x14ac:dyDescent="0.25"><c r="B27" s="272"/><c r="C27" s="272"/><c r="D27" s="272"/><c r="E27" s="272"/><c r="F27" s="272"/><c r="G27" s="272"/><c r="H27" s="272"/><c r="I27" s="272"/><c r="J27" s="272"/><c r="K27" s="272"/><c r="L27" s="272"/><c r="M27" s="272"/><c r="N27" s="272"/><c r="O27" s="272"/></row></sheetData><mergeCells count="22"><mergeCell ref="D17:R17"/><mergeCell ref="D18:R18"/><mergeCell ref="D19:R19"/><mergeCell ref="D14:R14"/><mergeCell ref="D15:R15"/><mergeCell ref="D16:R16"/><mergeCell ref="B21:R21"/><mergeCell ref="B23:R25"/><mergeCell ref="B27:O27"/><mergeCell ref="A1:R1"/><mergeCell ref="B17:C17"/><mergeCell ref="B18:C18"/><mergeCell ref="B19:C19"/><mergeCell ref="B14:C14"/><mergeCell ref="B15:C15"/><mergeCell ref="B16:C16"/><mergeCell ref="B11:R11"/><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4"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Pico</v></c><c r="K2" s="81"/><c r="L2" s="81"/><c r="M2" s="81"/><c r="N2" s="81"/><c r="O2" s="81"/><c r="P2" s="81"/><c r="Q2" s="81"/><c r="R2" s="150"/><c r="S2" s="152"/><c r="T2" s="78" t="str"><f>Translation!$A$51</f><v>Ano do inventário</v></c><c r="U2" s="151"><f>'Start here'!$B$6</f><v>2008</v></c></row><row r="3" spans="1:30" ht="28.5" customHeight="1" x14ac:dyDescent="0.2"><c r="A3" s="116"/><c r="D3" s="116"/><c r="E3" s="116"/><c r="F3" s="116"/><c r="G3" s="116"/><c r="H3" s="116"/><c r="I3" s="116"/><c r="J3" s="118"/><c r="K3" s="118"/><c r="T3" s="27"/></row><row r="4" spans="1:30" ht="46.5" customHeight="1" x14ac:dyDescent="0.2"><c r="A4" s="264" t="str"><f>Translation!A49</f><v>INVENTÁRIO DE EMISSÕES NO ANO BASE</v></c><c r="B4" s="264"/><c r="C4" s="264"/><c r="D4" s="264"/><c r="E4" s="264"/><c r="F4" s="264"/><c r="G4" s="264"/><c r="H4" s="264"/><c r="I4" s="264"/><c r="J4" s="264"/><c r="K4" s="264"/><c r="L4" s="264"/><c r="M4" s="264"/><c r="N4" s="264"/><c r="O4" s="264"/><c r="P4" s="264"/><c r="Q4" s="264"/><c r="R4" s="264"/><c r="S4" s="264"/><c r="T4" s="264"/><c r="U4" s="264"/><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8" t="str"><f>Translation!$A$53</f><v>Campos obrigatórios</v></c><c r="T6" s="268"/><c r="U6" s="268"/></row><row r="7" spans="1:30" s="126" customFormat="1" ht="36" x14ac:dyDescent="0.55000000000000004"><c r="A7" s="124" t="s"><v>0</v></c><c r="B7" s="125" t="str"><f>Translation!A50</f><v>DADOS GERAIS</v></c><c r="L7" s="127"/></row><row r="8" spans="1:30" ht="21" x14ac:dyDescent="0.35"><c r="A8" s="128"/><c r="B8" s="130" t="str"><f>Translation!A52</f><v>Número de habitantes</v></c><c r="C8" s="315"><v>14850</v></c><c r="D8" s="316"/><c r="E8" s="153" t="str"><f>"("&amp;U2&amp;")"</f><v>(2008)</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317" t="str"><f>'Start here'!F7</f><v>Factores de emissão IPCC</v></c><c r="D10" s="317"/><c r="E10" s="317"/><c r="F10" s="317"/><c r="G10" s="317"/><c r="H10" s="317"/><c r="I10" s="317"/><c r="J10" s="31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75" t="str"><f>Translation!A56</f><v>SECTOR DE PROCURA</v></c><c r="C14" s="277" t="str"><f>Translation!A94</f><v>ENERGIA PARA CONSUMO FINAL</v></c><c r="D14" s="278"/><c r="E14" s="278"/><c r="F14" s="278"/><c r="G14" s="278"/><c r="H14" s="278"/><c r="I14" s="278"/><c r="J14" s="278"/><c r="K14" s="278"/><c r="L14" s="278"/><c r="M14" s="278"/><c r="N14" s="278"/><c r="O14" s="278"/><c r="P14" s="278"/><c r="Q14" s="278"/><c r="R14" s="278"/><c r="S14" s="278"/><c r="T14" s="278"/><c r="U14" s="279"/></row><row r="15" spans="1:30" s="51" customFormat="1" ht="18" customHeight="1" x14ac:dyDescent="0.25"><c r="B15" s="276"/><c r="C15" s="277" t="str"><f>Translation!A95</f><v>Serviços energéticos centralizados</v></c><c r="D15" s="278"/><c r="E15" s="278"/><c r="F15" s="279"/><c r="G15" s="277" t="str"><f>Translation!A99</f><v>Combustíveis fósseis</v></c><c r="H15" s="278"/><c r="I15" s="278"/><c r="J15" s="278"/><c r="K15" s="278"/><c r="L15" s="278"/><c r="M15" s="279"/><c r="N15" s="277" t="str"><f>Translation!A106</f><v>Fontes energéticas renováveis (excluindo electricidade e calor para venda a redes públicas)</v></c><c r="O15" s="278"/><c r="P15" s="278"/><c r="Q15" s="278"/><c r="R15" s="278"/><c r="S15" s="278"/><c r="T15" s="279"/><c r="U15" s="275"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76"/></row><row r="17" spans="1:21" s="21" customFormat="1" ht="15.75" x14ac:dyDescent="0.25"><c r="A17" s="22"/><c r="B17" s="66" t="str"><f>Translation!A60</f><v>RESIDENCIAL</v></c><c r="C17" s="236"><f>SUM(C18:C26)</f><v>16194.21</v></c><c r="D17" s="236"><f>SUM(D18:D26)</f><v>0</v></c><c r="E17" s="236"><f>SUM(E18:E26)</f><v>0</v></c><c r="F17" s="64"><f t="shared" ref="F17:F51" si="0">SUM(C17:E17)</f><v>16194.21</v></c><c r="G17" s="236"><f t="shared" ref="G17:L17" si="1">SUM(G18:G26)</f><v>0</v></c><c r="H17" s="236"><f t="shared" si="1"/><v>0</v></c><c r="I17" s="236"><f t="shared" si="1"/><v>0</v></c><c r="J17" s="236"><f t="shared" si="1"/><v>17569</v></c><c r="K17" s="236"><f t="shared" si="1"/><v>0</v></c><c r="L17" s="236"><f t="shared" si="1"/><v>0</v></c><c r="M17" s="64"><f t="shared" ref="M17:M51" si="2">SUM(G17:L17)</f><v>17569</v></c><c r="N17" s="236"><f t="shared" ref="N17:S17" si="3">SUM(N18:N26)</f><v>0</v></c><c r="O17" s="236"><f t="shared" si="3"/><v>0</v></c><c r="P17" s="236"><f t="shared" si="3"/><v>0</v></c><c r="Q17" s="236"><f t="shared" si="3"/><v>0</v></c><c r="R17" s="236"><f t="shared" si="3"/><v>0</v></c><c r="S17" s="236"><f t="shared" si="3"/><v>0</v></c><c r="T17" s="64"><f t="shared" ref="T17" si="4">SUM(N17:S17)</f><v>0</v></c><c r="U17" s="64"><f t="shared" ref="U17" si="5">F17+M17+T17</f><v>33763.21</v></c></row><row r="18" spans="1:21" s="21" customFormat="1" ht="15.75" x14ac:dyDescent="0.25"><c r="A18" s="22"/><c r="B18" s="182" t="str"><f>Translation!A61</f><v>Água quente</v></c><c r="C18" s="154"><v>16194.21</v></c><c r="D18" s="154"/><c r="E18" s="154"/><c r="F18" s="64"><f t="shared" si="0"/><v>16194.21</v></c><c r="G18" s="154"/><c r="H18" s="154"/><c r="I18" s="154"/><c r="J18" s="154"><v>17569</v></c><c r="K18" s="154"/><c r="L18" s="154"/><c r="M18" s="64"><f t="shared" si="2"/><v>17569</v></c><c r="N18" s="154"/><c r="O18" s="154"/><c r="P18" s="154"/><c r="Q18" s="154"/><c r="R18" s="154"/><c r="S18" s="154"/><c r="T18" s="64"><f t="shared" ref="T18:T51" si="6">SUM(N18:S18)</f><v>0</v></c><c r="U18" s="64"><f t="shared" ref="U18:U51" si="7">F18+M18+T18</f><v>33763.21</v></c></row><row r="19" spans="1:21" s="21" customFormat="1" ht="15.75" x14ac:dyDescent="0.25"><c r="A19" s="22"/><c r="B19" s="182" t="str"><f>Translation!A62</f><v>Aquecimento e arrefecimento</v></c><c r="C19" s="154"/><c r="D19" s="154"/><c r="E19" s="154"/><c r="F19" s="64"><f t="shared" si="0"/><v>0</v></c><c r="G19" s="154"/><c r="H19" s="154"/><c r="I19" s="154"/><c r="J19" s="154"/><c r="K19" s="154"/><c r="L19" s="154"/><c r="M19" s="64"><f t="shared" si="2"/><v>0</v></c><c r="N19" s="154"/><c r="O19" s="154"/><c r="P19" s="154"/><c r="Q19" s="154"/><c r="R19" s="154"/><c r="S19" s="154"/><c r="T19" s="64"><f t="shared" si="6"/><v>0</v></c><c r="U19" s="64"><f t="shared" si="7"/><v>0</v></c></row><row r="20" spans="1:21" s="21" customFormat="1" ht="15.75" x14ac:dyDescent="0.25"><c r="A20" s="22"/><c r="B20" s="182" t="str"><f>Translation!A63</f><v>Iluminação</v></c><c r="C20" s="154"/><c r="D20" s="154"/><c r="E20" s="154"/><c r="F20" s="64"><f t="shared" si="0"/><v>0</v></c><c r="G20" s="154"/><c r="H20" s="154"/><c r="I20" s="154"/><c r="J20" s="154"/><c r="K20" s="154"/><c r="L20" s="154"/><c r="M20" s="64"><f t="shared" si="2"/><v>0</v></c><c r="N20" s="154"/><c r="O20" s="154"/><c r="P20" s="154"/><c r="Q20" s="154"/><c r="R20" s="154"/><c r="S20" s="154"/><c r="T20" s="64"><f t="shared" si="6"/><v>0</v></c><c r="U20" s="64"><f t="shared" si="7"/><v>0</v></c></row><row r="21" spans="1:21" s="21" customFormat="1" ht="15.75" x14ac:dyDescent="0.25"><c r="A21" s="22"/><c r="B21" s="182" t="str"><f>Translation!A64</f><v>Cozinha</v></c><c r="C21" s="154"/><c r="D21" s="154"/><c r="E21" s="154"/><c r="F21" s="64"><f t="shared" si="0"/><v>0</v></c><c r="G21" s="154"/><c r="H21" s="154"/><c r="I21" s="154"/><c r="J21" s="154"/><c r="K21" s="154"/><c r="L21" s="154"/><c r="M21" s="64"><f t="shared" si="2"/><v>0</v></c><c r="N21" s="154"/><c r="O21" s="154"/><c r="P21" s="154"/><c r="Q21" s="154"/><c r="R21" s="154"/><c r="S21" s="154"/><c r="T21" s="64"><f t="shared" si="6"/><v>0</v></c><c r="U21" s="64"><f t="shared" si="7"/><v>0</v></c></row><row r="22" spans="1:21" s="21" customFormat="1" ht="15.75" x14ac:dyDescent="0.25"><c r="A22" s="22"/><c r="B22" s="182" t="str"><f>Translation!A65</f><v>Frigoríficos e congeladores</v></c><c r="C22" s="154"/><c r="D22" s="154"/><c r="E22" s="154"/><c r="F22" s="64"><f t="shared" si="0"/><v>0</v></c><c r="G22" s="154"/><c r="H22" s="154"/><c r="I22" s="154"/><c r="J22" s="154"/><c r="K22" s="154"/><c r="L22" s="154"/><c r="M22" s="64"><f t="shared" si="2"/><v>0</v></c><c r="N22" s="154"/><c r="O22" s="154"/><c r="P22" s="154"/><c r="Q22" s="154"/><c r="R22" s="154"/><c r="S22" s="154"/><c r="T22" s="64"><f t="shared" si="6"/><v>0</v></c><c r="U22" s="64"><f t="shared" si="7"/><v>0</v></c></row><row r="23" spans="1:21" s="21" customFormat="1" ht="15.75" x14ac:dyDescent="0.25"><c r="A23" s="22"/><c r="B23" s="182" t="str"><f>Translation!A66</f><v>Máquinas de lavar e secar roupa</v></c><c r="C23" s="154"/><c r="D23" s="154"/><c r="E23" s="154"/><c r="F23" s="64"><f t="shared" si="0"/><v>0</v></c><c r="G23" s="154"/><c r="H23" s="154"/><c r="I23" s="154"/><c r="J23" s="154"/><c r="K23" s="154"/><c r="L23" s="154"/><c r="M23" s="64"><f t="shared" si="2"/><v>0</v></c><c r="N23" s="154"/><c r="O23" s="154"/><c r="P23" s="154"/><c r="Q23" s="154"/><c r="R23" s="154"/><c r="S23" s="154"/><c r="T23" s="64"><f t="shared" si="6"/><v>0</v></c><c r="U23" s="64"><f t="shared" si="7"/><v>0</v></c></row><row r="24" spans="1:21" s="21" customFormat="1" ht="15.75" x14ac:dyDescent="0.25"><c r="A24" s="22"/><c r="B24" s="182" t="str"><f>Translation!A67</f><v>Máquinas de lavar louça</v></c><c r="C24" s="154"/><c r="D24" s="154"/><c r="E24" s="154"/><c r="F24" s="64"><f t="shared" si="0"/><v>0</v></c><c r="G24" s="154"/><c r="H24" s="154"/><c r="I24" s="154"/><c r="J24" s="154"/><c r="K24" s="154"/><c r="L24" s="154"/><c r="M24" s="64"><f t="shared" si="2"/><v>0</v></c><c r="N24" s="154"/><c r="O24" s="154"/><c r="P24" s="154"/><c r="Q24" s="154"/><c r="R24" s="154"/><c r="S24" s="154"/><c r="T24" s="64"><f t="shared" si="6"/><v>0</v></c><c r="U24" s="64"><f t="shared" si="7"/><v>0</v></c></row><row r="25" spans="1:21" s="21" customFormat="1" ht="15.75" x14ac:dyDescent="0.25"><c r="A25" s="22"/><c r="B25" s="182" t="str"><f>Translation!A68</f><v>Televisores</v></c><c r="C25" s="154"/><c r="D25" s="154"/><c r="E25" s="154"/><c r="F25" s="64"><f t="shared" si="0"/><v>0</v></c><c r="G25" s="154"/><c r="H25" s="154"/><c r="I25" s="154"/><c r="J25" s="154"/><c r="K25" s="154"/><c r="L25" s="154"/><c r="M25" s="64"><f t="shared" si="2"/><v>0</v></c><c r="N25" s="154"/><c r="O25" s="154"/><c r="P25" s="154"/><c r="Q25" s="154"/><c r="R25" s="154"/><c r="S25" s="154"/><c r="T25" s="64"><f t="shared" si="6"/><v>0</v></c><c r="U25" s="64"><f t="shared" si="7"/><v>0</v></c></row><row r="26" spans="1:21" s="21" customFormat="1" ht="15.75" x14ac:dyDescent="0.25"><c r="A26" s="22"/><c r="B26" s="182" t="str"><f>Translation!A69</f><v>Outros aparelhos eléctricos</v></c><c r="C26" s="154"/><c r="D26" s="154"/><c r="E26" s="154"/><c r="F26" s="64"><f t="shared" si="0"/><v>0</v></c><c r="G26" s="154"/><c r="H26" s="154"/><c r="I26" s="154"/><c r="J26" s="154"/><c r="K26" s="154"/><c r="L26" s="154"/><c r="M26" s="64"><f t="shared" si="2"/><v>0</v></c><c r="N26" s="154"/><c r="O26" s="154"/><c r="P26" s="154"/><c r="Q26" s="154"/><c r="R26" s="154"/><c r="S26" s="154"/><c r="T26" s="64"><f t="shared" si="6"/><v>0</v></c><c r="U26" s="64"><f t="shared" si="7"/><v>0</v></c></row><row r="27" spans="1:21" s="21" customFormat="1" ht="15.75" x14ac:dyDescent="0.25"><c r="A27" s="22"/><c r="B27" s="66" t="str"><f>Translation!A70</f><v>SECTOR PRIMÁRIO</v></c><c r="C27" s="236"><f>SUM(C28:C29)</f><v>856.9</v></c><c r="D27" s="236"><f>SUM(D28:D29)</f><v>0</v></c><c r="E27" s="236"><f>SUM(E28:E29)</f><v>0</v></c><c r="F27" s="64"><f t="shared" si="0"/><v>856.9</v></c><c r="G27" s="236"><f t="shared" ref="G27:L27" si="8">SUM(G28:G29)</f><v>0</v></c><c r="H27" s="236"><f t="shared" si="8"/><v>28278</v></c><c r="I27" s="236"><f t="shared" si="8"/><v>0</v></c><c r="J27" s="236"><f t="shared" si="8"/><v>0</v></c><c r="K27" s="236"><f t="shared" si="8"/><v>0</v></c><c r="L27" s="236"><f t="shared" si="8"/><v>0</v></c><c r="M27" s="64"><f t="shared" si="2"/><v>28278</v></c><c r="N27" s="236"><f t="shared" ref="N27:S27" si="9">SUM(N28:N29)</f><v>0</v></c><c r="O27" s="236"><f t="shared" si="9"/><v>0</v></c><c r="P27" s="236"><f t="shared" si="9"/><v>0</v></c><c r="Q27" s="236"><f t="shared" si="9"/><v>0</v></c><c r="R27" s="236"><f t="shared" si="9"/><v>0</v></c><c r="S27" s="236"><f t="shared" si="9"/><v>0</v></c><c r="T27" s="64"><f t="shared" si="6"/><v>0</v></c><c r="U27" s="64"><f t="shared" si="7"/><v>29134.9</v></c></row><row r="28" spans="1:21" s="21" customFormat="1" ht="15.75" x14ac:dyDescent="0.25"><c r="A28" s="22"/><c r="B28" s="183" t="str"><f>Translation!A71</f><v>Agricultura, produção animal, caça, floresta e pesca</v></c><c r="C28" s="154"><v>856.9</v></c><c r="D28" s="154"/><c r="E28" s="154"/><c r="F28" s="64"><f t="shared" si="0"/><v>856.9</v></c><c r="G28" s="154"/><c r="H28" s="154"><v>28278</v></c><c r="I28" s="154"/><c r="J28" s="154"/><c r="K28" s="154"/><c r="L28" s="154"/><c r="M28" s="64"><f t="shared" si="2"/><v>28278</v></c><c r="N28" s="154"/><c r="O28" s="154"/><c r="P28" s="154"/><c r="Q28" s="154"/><c r="R28" s="154"/><c r="S28" s="154"/><c r="T28" s="64"><f t="shared" si="6"/><v>0</v></c><c r="U28" s="64"><f t="shared" si="7"/><v>29134.9</v></c></row><row r="29" spans="1:21" s="21" customFormat="1" ht="15.75" x14ac:dyDescent="0.25"><c r="A29" s="22"/><c r="B29" s="183" t="str"><f>Translation!A72</f><v>Indústrias extractivas</v></c><c r="C29" s="154"/><c r="D29" s="154"/><c r="E29" s="154"/><c r="F29" s="64"><f t="shared" si="0"/><v>0</v></c><c r="G29" s="154"/><c r="H29" s="154"/><c r="I29" s="154"/><c r="J29" s="154"/><c r="K29" s="154"/><c r="L29" s="154"/><c r="M29" s="64"><f t="shared" si="2"/><v>0</v></c><c r="N29" s="154"/><c r="O29" s="154"/><c r="P29" s="154"/><c r="Q29" s="154"/><c r="R29" s="154"/><c r="S29" s="154"/><c r="T29" s="64"><f t="shared" si="6"/><v>0</v></c><c r="U29" s="64"><f t="shared" si="7"/><v>0</v></c></row><row r="30" spans="1:21" s="21" customFormat="1" ht="15.75" x14ac:dyDescent="0.25"><c r="A30" s="22"/><c r="B30" s="61" t="str"><f>Translation!A73</f><v>SECTOR SECUNDÁRIO</v></c><c r="C30" s="236"><f>SUM(C31:C33)</f><v>4837.21</v></c><c r="D30" s="236"><f>SUM(D31:D33)</f><v>0</v></c><c r="E30" s="236"><f>SUM(E31:E33)</f><v>0</v></c><c r="F30" s="64"><f t="shared" si="0"/><v>4837.21</v></c><c r="G30" s="236"><f t="shared" ref="G30:L30" si="10">SUM(G31:G33)</f><v>6218</v></c><c r="H30" s="236"><f t="shared" si="10"/><v>0</v></c><c r="I30" s="236"><f t="shared" si="10"/><v>0</v></c><c r="J30" s="236"><f t="shared" si="10"/><v>0</v></c><c r="K30" s="236"><f t="shared" si="10"/><v>0</v></c><c r="L30" s="236"><f t="shared" si="10"/><v>0</v></c><c r="M30" s="64"><f t="shared" si="2"/><v>6218</v></c><c r="N30" s="236"><f t="shared" ref="N30:S30" si="11">SUM(N31:N33)</f><v>0</v></c><c r="O30" s="236"><f t="shared" si="11"/><v>0</v></c><c r="P30" s="236"><f t="shared" si="11"/><v>0</v></c><c r="Q30" s="236"><f t="shared" si="11"/><v>0</v></c><c r="R30" s="236"><f t="shared" si="11"/><v>0</v></c><c r="S30" s="236"><f t="shared" si="11"/><v>0</v></c><c r="T30" s="64"><f t="shared" si="6"/><v>0</v></c><c r="U30" s="64"><f t="shared" si="7"/><v>11055.21</v></c></row><row r="31" spans="1:21" s="21" customFormat="1" ht="15.75" x14ac:dyDescent="0.25"><c r="A31" s="22"/><c r="B31" s="183" t="str"><f>Translation!A74</f><v>Indústrias transformadoras</v></c><c r="C31" s="154"><v>3844</v></c><c r="D31" s="154"/><c r="E31" s="154"/><c r="F31" s="64"><f t="shared" si="0"/><v>3844</v></c><c r="G31" s="154"><v>6218</v></c><c r="H31" s="154"/><c r="I31" s="154"/><c r="J31" s="154"/><c r="K31" s="154"/><c r="L31" s="154"/><c r="M31" s="64"><f t="shared" si="2"/><v>6218</v></c><c r="N31" s="154"/><c r="O31" s="154"/><c r="P31" s="154"/><c r="Q31" s="154"/><c r="R31" s="154"/><c r="S31" s="154"/><c r="T31" s="64"><f t="shared" si="6"/><v>0</v></c><c r="U31" s="64"><f t="shared" si="7"/><v>10062</v></c></row><row r="32" spans="1:21" s="21" customFormat="1" ht="45" x14ac:dyDescent="0.25"><c r="A32" s="22"/><c r="B32" s="183" t="str"><f>Translation!A75</f><v>Captação, tratamento e distribuição de água; saneamento, gestão de resíduos
e despoluição</v></c><c r="C32" s="154"/><c r="D32" s="154"/><c r="E32" s="154"/><c r="F32" s="64"><f t="shared" si="0"/><v>0</v></c><c r="G32" s="154"/><c r="H32" s="154"/><c r="I32" s="154"/><c r="J32" s="154"/><c r="K32" s="154"/><c r="L32" s="154"/><c r="M32" s="64"><f t="shared" si="2"/><v>0</v></c><c r="N32" s="154"/><c r="O32" s="154"/><c r="P32" s="154"/><c r="Q32" s="154"/><c r="R32" s="154"/><c r="S32" s="154"/><c r="T32" s="64"><f t="shared" si="6"/><v>0</v></c><c r="U32" s="64"><f t="shared" si="7"/><v>0</v></c></row><row r="33" spans="1:21" s="21" customFormat="1" ht="15.75" x14ac:dyDescent="0.25"><c r="A33" s="22"/><c r="B33" s="183" t="str"><f>Translation!A76</f><v>Construção</v></c><c r="C33" s="154"><v>993.21</v></c><c r="D33" s="154"/><c r="E33" s="154"/><c r="F33" s="64"><f t="shared" si="0"/><v>993.21</v></c><c r="G33" s="154"/><c r="H33" s="154"/><c r="I33" s="154"/><c r="J33" s="154"/><c r="K33" s="154"/><c r="L33" s="154"/><c r="M33" s="64"><f t="shared" si="2"/><v>0</v></c><c r="N33" s="154"/><c r="O33" s="154"/><c r="P33" s="154"/><c r="Q33" s="154"/><c r="R33" s="154"/><c r="S33" s="154"/><c r="T33" s="64"><f t="shared" si="6"/><v>0</v></c><c r="U33" s="64"><f t="shared" si="7"/><v>993.21</v></c></row><row r="34" spans="1:21" s="21" customFormat="1" ht="15.75" x14ac:dyDescent="0.25"><c r="A34" s="22"/><c r="B34" s="61" t="str"><f>Translation!A77</f><v>SECTOR TERCIÁRIO</v></c><c r="C34" s="236"><f>SUM(C35:C42)</f><v>16877.489999999998</v></c><c r="D34" s="236"><f>SUM(D35:D42)</f><v>0</v></c><c r="E34" s="236"><f>SUM(E35:E42)</f><v>0</v></c><c r="F34" s="64"><f t="shared" si="0"/><v>16877.489999999998</v></c><c r="G34" s="236"><f t="shared" ref="G34:L34" si="12">SUM(G35:G42)</f><v>0</v></c><c r="H34" s="236"><f t="shared" si="12"/><v>0</v></c><c r="I34" s="236"><f t="shared" si="12"/><v>0</v></c><c r="J34" s="236"><f t="shared" si="12"/><v>0</v></c><c r="K34" s="236"><f t="shared" si="12"/><v>0</v></c><c r="L34" s="236"><f t="shared" si="12"/><v>0</v></c><c r="M34" s="64"><f t="shared" si="2"/><v>0</v></c><c r="N34" s="236"><f t="shared" ref="N34:S34" si="13">SUM(N35:N42)</f><v>0</v></c><c r="O34" s="236"><f t="shared" si="13"/><v>0</v></c><c r="P34" s="236"><f t="shared" si="13"/><v>0</v></c><c r="Q34" s="236"><f t="shared" si="13"/><v>0</v></c><c r="R34" s="236"><f t="shared" si="13"/><v>0</v></c><c r="S34" s="236"><f t="shared" si="13"/><v>0</v></c><c r="T34" s="64"><f t="shared" si="6"/><v>0</v></c><c r="U34" s="64"><f t="shared" si="7"/><v>16877.489999999998</v></c></row><row r="35" spans="1:21" s="21" customFormat="1" ht="30" x14ac:dyDescent="0.25"><c r="A35" s="22"/><c r="B35" s="183" t="str"><f>Translation!A78</f><v>Comércio por grosso e a retalho; reparação de veículos automóveis e motociclos</v></c><c r="C35" s="154"><v>4179.5600000000004</v></c><c r="D35" s="154"/><c r="E35" s="154"/><c r="F35" s="64"><f t="shared" si="0"/><v>4179.5600000000004</v></c><c r="G35" s="154"/><c r="H35" s="154"/><c r="I35" s="154"/><c r="J35" s="154"/><c r="K35" s="154"/><c r="L35" s="154"/><c r="M35" s="64"><f t="shared" si="2"/><v>0</v></c><c r="N35" s="154"/><c r="O35" s="154"/><c r="P35" s="154"/><c r="Q35" s="154"/><c r="R35" s="154"/><c r="S35" s="154"/><c r="T35" s="64"><f t="shared" si="6"/><v>0</v></c><c r="U35" s="64"><f t="shared" si="7"/><v>4179.5600000000004</v></c></row><row r="36" spans="1:21" s="21" customFormat="1" ht="15.75" x14ac:dyDescent="0.25"><c r="A36" s="22"/><c r="B36" s="183" t="str"><f>Translation!A79</f><v>Alojamento, restauração e similares</v></c><c r="C36" s="154"><v>1206.54</v></c><c r="D36" s="154"/><c r="E36" s="154"/><c r="F36" s="64"><f t="shared" si="0"/><v>1206.54</v></c><c r="G36" s="154"/><c r="H36" s="154"/><c r="I36" s="154"/><c r="J36" s="154"/><c r="K36" s="154"/><c r="L36" s="154"/><c r="M36" s="64"><f t="shared" si="2"/><v>0</v></c><c r="N36" s="154"/><c r="O36" s="154"/><c r="P36" s="154"/><c r="Q36" s="154"/><c r="R36" s="154"/><c r="S36" s="154"/><c r="T36" s="64"><f t="shared" si="6"/><v>0</v></c><c r="U36" s="64"><f t="shared" si="7"/><v>1206.54</v></c></row><row r="37" spans="1:21" s="21" customFormat="1" ht="15.75" x14ac:dyDescent="0.25"><c r="A37" s="22"/><c r="B37" s="183" t="str"><f>Translation!A80</f><v>Administração pública e segurança social</v></c><c r="C37" s="154"><v>4186</v></c><c r="D37" s="154"/><c r="E37" s="154"/><c r="F37" s="64"><f t="shared" si="0"/><v>4186</v></c><c r="G37" s="154"/><c r="H37" s="154"/><c r="I37" s="154"/><c r="J37" s="154"/><c r="K37" s="154"/><c r="L37" s="154"/><c r="M37" s="64"><f t="shared" si="2"/><v>0</v></c><c r="N37" s="154"/><c r="O37" s="154"/><c r="P37" s="154"/><c r="Q37" s="154"/><c r="R37" s="154"/><c r="S37" s="154"/><c r="T37" s="64"><f t="shared" si="6"/><v>0</v></c><c r="U37" s="64"><f t="shared" si="7"/><v>4186</v></c></row><row r="38" spans="1:21" s="21" customFormat="1" ht="15.75" x14ac:dyDescent="0.25"><c r="A38" s="22"/><c r="B38" s="183" t="str"><f>Translation!A81</f><v>Defesa, justiça, polícia e bombeiros</v></c><c r="C38" s="154"><v>219.03</v></c><c r="D38" s="154"/><c r="E38" s="154"/><c r="F38" s="64"><f t="shared" si="0"/><v>219.03</v></c><c r="G38" s="154"/><c r="H38" s="154"/><c r="I38" s="154"/><c r="J38" s="154"/><c r="K38" s="154"/><c r="L38" s="154"/><c r="M38" s="64"><f t="shared" si="2"/><v>0</v></c><c r="N38" s="154"/><c r="O38" s="154"/><c r="P38" s="154"/><c r="Q38" s="154"/><c r="R38" s="154"/><c r="S38" s="154"/><c r="T38" s="64"><f t="shared" si="6"/><v>0</v></c><c r="U38" s="64"><f t="shared" si="7"/><v>219.03</v></c></row><row r="39" spans="1:21" s="21" customFormat="1" ht="15.75" x14ac:dyDescent="0.25"><c r="A39" s="22"/><c r="B39" s="183" t="str"><f>Translation!A82</f><v>Educação</v></c><c r="C39" s="154"><v>619.54999999999995</v></c><c r="D39" s="154"/><c r="E39" s="154"/><c r="F39" s="64"><f t="shared" si="0"/><v>619.54999999999995</v></c><c r="G39" s="154"/><c r="H39" s="154"/><c r="I39" s="154"/><c r="J39" s="154"/><c r="K39" s="154"/><c r="L39" s="154"/><c r="M39" s="64"><f t="shared" si="2"/><v>0</v></c><c r="N39" s="154"/><c r="O39" s="154"/><c r="P39" s="154"/><c r="Q39" s="154"/><c r="R39" s="154"/><c r="S39" s="154"/><c r="T39" s="64"><f t="shared" si="6"/><v>0</v></c><c r="U39" s="64"><f t="shared" si="7"/><v>619.54999999999995</v></c></row><row r="40" spans="1:21" s="21" customFormat="1" ht="15.75" x14ac:dyDescent="0.25"><c r="A40" s="22"/><c r="B40" s="183" t="str"><f>Translation!A83</f><v>Actividades de saúde humana e apoio social</v></c><c r="C40" s="154"><v>897.71</v></c><c r="D40" s="154"/><c r="E40" s="154"/><c r="F40" s="64"><f t="shared" si="0"/><v>897.71</v></c><c r="G40" s="154"/><c r="H40" s="154"/><c r="I40" s="154"/><c r="J40" s="154"/><c r="K40" s="154"/><c r="L40" s="154"/><c r="M40" s="64"><f t="shared" si="2"/><v>0</v></c><c r="N40" s="154"/><c r="O40" s="154"/><c r="P40" s="154"/><c r="Q40" s="154"/><c r="R40" s="154"/><c r="S40" s="154"/><c r="T40" s="64"><f t="shared" si="6"/><v>0</v></c><c r="U40" s="64"><f t="shared" si="7"/><v>897.71</v></c></row><row r="41" spans="1:21" s="21" customFormat="1" ht="15.75" x14ac:dyDescent="0.25"><c r="A41" s="22"/><c r="B41" s="183" t="str"><f>Translation!A84</f><v>Outros serviços</v></c><c r="C41" s="154"><v>2677.97</v></c><c r="D41" s="154"/><c r="E41" s="154"/><c r="F41" s="64"><f t="shared" si="0"/><v>2677.97</v></c><c r="G41" s="154"/><c r="H41" s="154"/><c r="I41" s="154"/><c r="J41" s="154"/><c r="K41" s="154"/><c r="L41" s="154"/><c r="M41" s="64"><f t="shared" si="2"/><v>0</v></c><c r="N41" s="154"/><c r="O41" s="154"/><c r="P41" s="154"/><c r="Q41" s="154"/><c r="R41" s="154"/><c r="S41" s="154"/><c r="T41" s="64"><f t="shared" si="6"/><v>0</v></c><c r="U41" s="64"><f t="shared" si="7"/><v>2677.97</v></c></row><row r="42" spans="1:21" s="21" customFormat="1" ht="15.75" x14ac:dyDescent="0.25"><c r="A42" s="22"/><c r="B42" s="183" t="str"><f>Translation!A85</f><v>Iluminação pública</v></c><c r="C42" s="154"><v>2891.13</v></c><c r="D42" s="154"/><c r="E42" s="154"/><c r="F42" s="64"><f t="shared" si="0"/><v>2891.13</v></c><c r="G42" s="154"/><c r="H42" s="154"/><c r="I42" s="154"/><c r="J42" s="154"/><c r="K42" s="154"/><c r="L42" s="154"/><c r="M42" s="64"><f t="shared" si="2"/><v>0</v></c><c r="N42" s="154"/><c r="O42" s="154"/><c r="P42" s="154"/><c r="Q42" s="154"/><c r="R42" s="154"/><c r="S42" s="154"/><c r="T42" s="64"><f t="shared" si="6"/><v>0</v></c><c r="U42" s="64"><f t="shared" si="7"/><v>2891.13</v></c></row><row r="43" spans="1:21" s="21" customFormat="1" ht="15.75" x14ac:dyDescent="0.25"><c r="A43" s="22"/><c r="B43" s="61" t="str"><f>Translation!A86</f><v>TRANSPORTES</v></c><c r="C43" s="236"><f>SUM(C44:C47)</f><v>73.489999999999995</v></c><c r="D43" s="236"><f>SUM(D44:D47)</f><v>0</v></c><c r="E43" s="236"><f>SUM(E44:E47)</f><v>0</v></c><c r="F43" s="64"><f t="shared" si="0"/><v>73.489999999999995</v></c><c r="G43" s="236"><f t="shared" ref="G43:L43" si="14">SUM(G44:G47)</f><v>0</v></c><c r="H43" s="236"><f t="shared" si="14"/><v>57117</v></c><c r="I43" s="236"><f t="shared" si="14"/><v>20753</v></c><c r="J43" s="236"><f t="shared" si="14"/><v>0</v></c><c r="K43" s="236"><f t="shared" si="14"/><v>0</v></c><c r="L43" s="236"><f t="shared" si="14"/><v>0</v></c><c r="M43" s="64"><f t="shared" si="2"/><v>77870</v></c><c r="N43" s="236"><f t="shared" ref="N43:S43" si="15">SUM(N44:N47)</f><v>0</v></c><c r="O43" s="236"><f t="shared" si="15"/><v>0</v></c><c r="P43" s="236"><f t="shared" si="15"/><v>0</v></c><c r="Q43" s="236"><f t="shared" si="15"/><v>0</v></c><c r="R43" s="236"><f t="shared" si="15"/><v>0</v></c><c r="S43" s="236"><f t="shared" si="15"/><v>0</v></c><c r="T43" s="64"><f t="shared" si="6"/><v>0</v></c><c r="U43" s="64"><f t="shared" si="7"/><v>77943.490000000005</v></c></row><row r="44" spans="1:21" s="21" customFormat="1" ht="30" x14ac:dyDescent="0.25"><c r="A44" s="22"/><c r="B44" s="183" t="str"><f>Translation!A87</f><v>Transporte de passageiros por estrada (transportes públicos, táxis, turismo, transporte escolar, etc.)</v></c><c r="C44" s="154"><v>14.57</v></c><c r="D44" s="154"/><c r="E44" s="154"/><c r="F44" s="64"><f t="shared" si="0"/><v>14.57</v></c><c r="G44" s="154"/><c r="H44" s="154"><v>57117</v></c><c r="I44" s="154"><v>20753</v></c><c r="J44" s="154"/><c r="K44" s="154"/><c r="L44" s="154"/><c r="M44" s="64"><f t="shared" si="2"/><v>77870</v></c><c r="N44" s="154"/><c r="O44" s="154"/><c r="P44" s="154"/><c r="Q44" s="154"/><c r="R44" s="154"/><c r="S44" s="154"/><c r="T44" s="64"><f t="shared" si="6"/><v>0</v></c><c r="U44" s="64"><f t="shared" si="7"/><v>77884.570000000007</v></c></row><row r="45" spans="1:21" s="21" customFormat="1" ht="30" x14ac:dyDescent="0.25"><c r="A45" s="22"/><c r="B45" s="183" t="str"><f>Translation!A88</f><v>Transporte de mercadorias por estrada e serviços de mudanças</v></c><c r="C45" s="154"><v>22.95</v></c><c r="D45" s="154"/><c r="E45" s="154"/><c r="F45" s="64"><f t="shared" si="0"/><v>22.95</v></c><c r="G45" s="154"/><c r="H45" s="154"/><c r="I45" s="154"/><c r="J45" s="154"/><c r="K45" s="154"/><c r="L45" s="154"/><c r="M45" s="64"><f t="shared" si="2"/><v>0</v></c><c r="N45" s="154"/><c r="O45" s="154"/><c r="P45" s="154"/><c r="Q45" s="154"/><c r="R45" s="154"/><c r="S45" s="154"/><c r="T45" s="64"><f t="shared" si="6"/><v>0</v></c><c r="U45" s="64"><f t="shared" si="7"/><v>22.95</v></c></row><row r="46" spans="1:21" s="21" customFormat="1" ht="15.75" x14ac:dyDescent="0.25"><c r="A46" s="22"/><c r="B46" s="183" t="str"><f>Translation!A89</f><v>Outras frotas de serviços públicos e privados</v></c><c r="C46" s="154"><v>5.12</v></c><c r="D46" s="154"/><c r="E46" s="154"/><c r="F46" s="64"><f t="shared" si="0"/><v>5.12</v></c><c r="G46" s="154"/><c r="H46" s="154"/><c r="I46" s="154"/><c r="J46" s="154"/><c r="K46" s="154"/><c r="L46" s="154"/><c r="M46" s="64"><f t="shared" si="2"/><v>0</v></c><c r="N46" s="154"/><c r="O46" s="154"/><c r="P46" s="154"/><c r="Q46" s="154"/><c r="R46" s="154"/><c r="S46" s="154"/><c r="T46" s="64"><f t="shared" si="6"/><v>0</v></c><c r="U46" s="64"><f t="shared" si="7"/><v>5.12</v></c></row><row r="47" spans="1:21" s="21" customFormat="1" ht="15.75" x14ac:dyDescent="0.25"><c r="A47" s="22"/><c r="B47" s="182" t="str"><f>Translation!A90</f><v>Transporte particular</v></c><c r="C47" s="154"><v>30.85</v></c><c r="D47" s="154"/><c r="E47" s="154"/><c r="F47" s="64"><f t="shared" si="0"/><v>30.85</v></c><c r="G47" s="154"/><c r="H47" s="154"/><c r="I47" s="154"/><c r="J47" s="154"/><c r="K47" s="154"/><c r="L47" s="154"/><c r="M47" s="64"><f t="shared" si="2"/><v>0</v></c><c r="N47" s="154"/><c r="O47" s="154"/><c r="P47" s="154"/><c r="Q47" s="154"/><c r="R47" s="154"/><c r="S47" s="154"/><c r="T47" s="64"><f t="shared" si="6"/><v>0</v></c><c r="U47" s="64"><f t="shared" si="7"/><v>30.85</v></c></row><row r="48" spans="1:21" s="21" customFormat="1" ht="15.75" x14ac:dyDescent="0.25"><c r="A48" s="22"/><c r="B48" s="73" t="str"><f>Translation!A118</f><v>TOTAL PARA MERCADO INTERNO</v></c><c r="C48" s="149"><f>C17+C27+C30+C34+C43</f><v>38839.299999999996</v></c><c r="D48" s="149"><f>D17+D27+D30+D34+D43</f><v>0</v></c><c r="E48" s="149"><f>E17+E27+E30+E34+E43</f><v>0</v></c><c r="F48" s="64"><f t="shared" si="0"/><v>38839.299999999996</v></c><c r="G48" s="65"><f t="shared" ref="G48:L48" si="16">G17+G27+G30+G34+G43</f><v>6218</v></c><c r="H48" s="65"><f t="shared" si="16"/><v>85395</v></c><c r="I48" s="65"><f t="shared" si="16"/><v>20753</v></c><c r="J48" s="65"><f t="shared" si="16"/><v>17569</v></c><c r="K48" s="65"><f t="shared" si="16"/><v>0</v></c><c r="L48" s="65"><f t="shared" si="16"/><v>0</v></c><c r="M48" s="64"><f t="shared" si="2"/><v>129935</v></c><c r="N48" s="65"><f t="shared" ref="N48:S48" si="17">N17+N27+N30+N34+N43</f><v>0</v></c><c r="O48" s="65"><f t="shared" si="17"/><v>0</v></c><c r="P48" s="65"><f t="shared" si="17"/><v>0</v></c><c r="Q48" s="65"><f t="shared" si="17"/><v>0</v></c><c r="R48" s="65"><f t="shared" si="17"/><v>0</v></c><c r="S48" s="65"><f t="shared" si="17"/><v>0</v></c><c r="T48" s="64"><f t="shared" si="6"/><v>0</v></c><c r="U48" s="64"><f t="shared" si="7"/><v>168774.3</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6"/><v>0</v></c><c r="U49" s="64"><f t="shared" si="7"/><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6"/><v>0</v></c><c r="U50" s="64"><f t="shared" si="7"/><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6"/><v>0</v></c><c r="U51" s="64"><f t="shared" si="7"/><v>0</v></c></row><row r="52" spans="2:32" s="51" customFormat="1" ht="15.75" x14ac:dyDescent="0.25"><c r="B52" s="73" t="str"><f>Translation!A119</f><v>TOTAL</v></c><c r="C52" s="53"><f>SUM(C48:C51)</f><v>38839.299999999996</v></c><c r="D52" s="53"><f t="shared" ref="D52:U52" si="18">SUM(D48:D51)</f><v>0</v></c><c r="E52" s="53"><f t="shared" si="18"/><v>0</v></c><c r="F52" s="53"><f t="shared" si="18"/><v>38839.299999999996</v></c><c r="G52" s="53"><f t="shared" si="18"/><v>6218</v></c><c r="H52" s="53"><f t="shared" si="18"/><v>85395</v></c><c r="I52" s="53"><f t="shared" si="18"/><v>20753</v></c><c r="J52" s="53"><f t="shared" si="18"/><v>17569</v></c><c r="K52" s="53"><f t="shared" si="18"/><v>0</v></c><c r="L52" s="53"><f t="shared" si="18"/><v>0</v></c><c r="M52" s="53"><f t="shared" si="18"/><v>129935</v></c><c r="N52" s="53"><f t="shared" si="18"/><v>0</v></c><c r="O52" s="53"><f t="shared" si="18"/><v>0</v></c><c r="P52" s="53"><f t="shared" si="18"/><v>0</v></c><c r="Q52" s="53"><f t="shared" si="18"/><v>0</v></c><c r="R52" s="53"><f t="shared" si="18"/><v>0</v></c><c r="S52" s="53"><f t="shared" si="18"/><v>0</v></c><c r="T52" s="53"><f t="shared" si="18"/><v>0</v></c><c r="U52" s="53"><f t="shared" si="18"/><v>168774.3</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75" t="str"><f>Translation!A121</f><v>SECTOR DE PRODUÇÃO</v></c><c r="C56" s="277" t="str"><f>Translation!A122</f><v>FONTE DE ENERGIA</v></c><c r="D56" s="278"/><c r="E56" s="278"/><c r="F56" s="278"/><c r="G56" s="278"/><c r="H56" s="278"/><c r="I56" s="278"/><c r="J56" s="278"/><c r="K56" s="278"/><c r="L56" s="278"/><c r="M56" s="278"/><c r="N56" s="278"/><c r="O56" s="278"/><c r="P56" s="278"/><c r="Q56" s="278"/><c r="R56" s="278"/><c r="S56" s="279"/><c r="T56" s="277" t="str"><f>Translation!A139</f><v>CONVERSÃO DE ENERGIA SECUNDÁRIA</v></c><c r="U56" s="278"/><c r="V56" s="279"/><c r="W56" s="296" t="str"><f>Translation!A130</f><v>FLUXOS ENERGÉTICOS</v></c><c r="X56" s="297"/><c r="Y56" s="297"/><c r="Z56" s="297"/><c r="AA56" s="297"/><c r="AB56" s="298"/><c r="AC56" s="308" t="str"><f>Translation!A119</f><v>TOTAL</v></c><c r="AD56" s="259" t="str"><f>Translation!A138</f><v>Perdas de distribuição e consumos próprios</v></c></row><row r="57" spans="2:32" s="51" customFormat="1" ht="18" customHeight="1" x14ac:dyDescent="0.25"><c r="B57" s="276"/><c r="C57" s="312" t="str"><f>Translation!A99</f><v>Combustíveis fósseis</v></c><c r="D57" s="313"/><c r="E57" s="313"/><c r="F57" s="313"/><c r="G57" s="313"/><c r="H57" s="313"/><c r="I57" s="314"/><c r="J57" s="312" t="str"><f>Translation!A107</f><v>Fontes energéticas renováveis (de sistemas ligados a redes públicas)</v></c><c r="K57" s="313"/><c r="L57" s="313"/><c r="M57" s="313"/><c r="N57" s="313"/><c r="O57" s="313"/><c r="P57" s="313"/><c r="Q57" s="313"/><c r="R57" s="314"/><c r="S57" s="259" t="str"><f>Translation!A117</f><v>Subtotal</v></c><c r="T57" s="306" t="str"><f>Translation!A140</f><v>Conversão de electricidade para frio</v></c><c r="U57" s="306" t="str"><f>Translation!A141</f><v>Conversão de calor para frio</v></c><c r="V57" s="259" t="str"><f>Translation!A117</f><v>Subtotal</v></c><c r="W57" s="310" t="str"><f>Translation!A131</f><v>Armazenamento</v></c><c r="X57" s="311"/><c r="Y57" s="309" t="str"><f>Translation!A134</f><v>Ligação externa</v></c><c r="Z57" s="309"/><c r="AA57" s="275" t="str"><f>Translation!A137</f><v>Reexportação e consumos externos</v></c><c r="AB57" s="259" t="str"><f>Translation!A117</f><v>Subtotal</v></c><c r="AC57" s="308"/><c r="AD57" s="259"/></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9"/><c r="T58" s="307"/><c r="U58" s="307"/><c r="V58" s="259"/><c r="W58" s="110" t="str"><f>Translation!A132</f><v>Entrada para armazenamento</v></c><c r="X58" s="110" t="str"><f>Translation!A133</f><v>Saída do armazenamento</v></c><c r="Y58" s="110" t="str"><f>Translation!A135</f><v>Importação para a ilha</v></c><c r="Z58" s="110" t="str"><f>Translation!A136</f><v>Exportação da ilha</v></c><c r="AA58" s="276"/><c r="AB58" s="259"/><c r="AC58" s="308"/><c r="AD58" s="259"/></row><row r="59" spans="2:32" s="51" customFormat="1" ht="15.75" x14ac:dyDescent="0.25"><c r="B59" s="184" t="str"><f>Translation!A124</f><v>Electricidade</v></c><c r="C59" s="237"><v>39841</v></c><c r="D59" s="237"><v>1</v></c><c r="E59" s="237"/><c r="F59" s="237"/><c r="G59" s="237"/><c r="H59" s="237"/><c r="I59" s="59"><f>SUM(C59:H59)</f><v>39842</v></c><c r="J59" s="237"/><c r="K59" s="237"><v>4807</v></c><c r="L59" s="237"/><c r="M59" s="237"/><c r="N59" s="237"/><c r="O59" s="237"/><c r="P59" s="237"/><c r="Q59" s="237"/><c r="R59" s="59"><f>SUM(J59:Q59)</f><v>4807</v></c><c r="S59" s="59"><f>I59+R59</f><v>44649</v></c><c r="T59" s="237"/><c r="U59" s="237"/><c r="V59" s="59"><f>-T59</f><v>0</v></c><c r="W59" s="237"/><c r="X59" s="237"/><c r="Y59" s="237"/><c r="Z59" s="237"/><c r="AA59" s="186"><f>$C$49+$C$50+$C$51</f><v>0</v></c><c r="AB59" s="59"><f>-SUM(W59)+SUM(X59:Y59)-SUM(Z59:AA59)</f><v>0</v></c><c r="AC59" s="64"><f>S59+V59+AB59</f><v>44649</v></c><c r="AD59" s="187"><f>AC59-C48</f><v>5809.7000000000044</v></c></row><row r="60" spans="2:32" s="51" customFormat="1" ht="15.75" x14ac:dyDescent="0.25"><c r="B60" s="183" t="str"><f>Translation!A125</f><v>Calor</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9">SUM(C59:C61)</f><v>39841</v></c><c r="D62" s="53"><f t="shared" si="19"/><v>1</v></c><c r="E62" s="53"><f t="shared" si="19"/><v>0</v></c><c r="F62" s="53"><f t="shared" si="19"/><v>0</v></c><c r="G62" s="53"><f t="shared" si="19"/><v>0</v></c><c r="H62" s="53"><f t="shared" si="19"/><v>0</v></c><c r="I62" s="53"><f t="shared" si="19"/><v>39842</v></c><c r="J62" s="53"><f t="shared" si="19"/><v>0</v></c><c r="K62" s="53"><f t="shared" si="19"/><v>4807</v></c><c r="L62" s="53"><f t="shared" si="19"/><v>0</v></c><c r="M62" s="53"><f t="shared" si="19"/><v>0</v></c><c r="N62" s="53"><f t="shared" si="19"/><v>0</v></c><c r="O62" s="53"><f t="shared" si="19"/><v>0</v></c><c r="P62" s="53"><f t="shared" si="19"/><v>0</v></c><c r="Q62" s="53"><f t="shared" si="19"/><v>0</v></c><c r="R62" s="53"><f t="shared" si="19"/><v>4807</v></c><c r="S62" s="53"><f t="shared" si="19"/><v>44649</v></c><c r="T62" s="53"><f t="shared" si="19"/><v>0</v></c><c r="U62" s="53"><f t="shared" si="19"/><v>0</v></c><c r="V62" s="53"><f t="shared" si="19"/><v>0</v></c><c r="W62" s="53"><f t="shared" si="19"/><v>0</v></c><c r="X62" s="53"><f t="shared" si="19"/><v>0</v></c><c r="Y62" s="53"><f t="shared" si="19"/><v>0</v></c><c r="Z62" s="53"><f t="shared" si="19"/><v>0</v></c><c r="AA62" s="53"><f t="shared" si="19"/><v>0</v></c><c r="AB62" s="53"><f t="shared" si="19"/><v>0</v></c><c r="AC62" s="53"><f t="shared" si="19"/><v>44649</v></c><c r="AD62" s="53"><f t="shared" si="19"/><v>5809.7000000000044</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75" t="str"><f>Translation!A121</f><v>SECTOR DE PRODUÇÃO</v></c><c r="C66" s="303" t="str"><f>Translation!A143</f><v>FONTE DE ENERGIA PRIMÁRIA</v></c><c r="D66" s="304"/><c r="E66" s="304"/><c r="F66" s="304"/><c r="G66" s="304"/><c r="H66" s="304"/><c r="I66" s="304"/><c r="J66" s="304"/><c r="K66" s="304"/><c r="L66" s="304"/><c r="M66" s="304"/><c r="N66" s="304"/><c r="O66" s="304"/><c r="P66" s="304"/><c r="Q66" s="304"/><c r="R66" s="304"/><c r="S66" s="305"/><c r="T66" s="299"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76"/><c r="C67" s="303" t="str"><f>Translation!A99</f><v>Combustíveis fósseis</v></c><c r="D67" s="304"/><c r="E67" s="304"/><c r="F67" s="304"/><c r="G67" s="304"/><c r="H67" s="304"/><c r="I67" s="305"/><c r="J67" s="303" t="str"><f>Translation!A108</f><v>Fontes energéticas renováveis</v></c><c r="K67" s="304"/><c r="L67" s="304"/><c r="M67" s="304"/><c r="N67" s="304"/><c r="O67" s="304"/><c r="P67" s="304"/><c r="Q67" s="304"/><c r="R67" s="305"/><c r="S67" s="302" t="str"><f>Translation!A119</f><v>TOTAL</v></c><c r="T67" s="300"/><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2"/><c r="T68" s="301"/><c r="U68" s="57"/><c r="V68" s="57"/><c r="W68" s="68"/><c r="X68" s="57"/><c r="Y68" s="57"/><c r="Z68" s="57"/><c r="AA68" s="57"/><c r="AB68" s="57"/><c r="AC68" s="57"/><c r="AD68" s="57"/><c r="AE68" s="57"/></row><row r="69" spans="2:31" s="51" customFormat="1" ht="15.75" x14ac:dyDescent="0.25"><c r="B69" s="184" t="str"><f>Translation!A124</f><v>Electricidade</v></c><c r="C69" s="237"><v>96130</v></c><c r="D69" s="237"><v>2038</v></c><c r="E69" s="237"/><c r="F69" s="237"/><c r="G69" s="237"/><c r="H69" s="237"/><c r="I69" s="59"><f>SUM(C69:H69)</f><v>98168</v></c><c r="J69" s="185"><f>J59</f><v>0</v></c><c r="K69" s="185"><f t="shared" ref="K69:P69" si="20">K59</f><v>4807</v></c><c r="L69" s="185"><f t="shared" si="20"/><v>0</v></c><c r="M69" s="185"><f t="shared" si="20"/><v>0</v></c><c r="N69" s="185"><f t="shared" si="20"/><v>0</v></c><c r="O69" s="237"/><c r="P69" s="185"><f t="shared" si="20"/><v>0</v></c><c r="Q69" s="185"/><c r="R69" s="59"><f>SUM(J69:Q69)</f><v>4807</v></c><c r="S69" s="59"><f>I69+R69</f><v>102975</v></c><c r="T69" s="71"><f>S69-AC59+AB59</f><v>58326</v></c><c r="U69" s="57"/><c r="V69" s="57"/><c r="W69" s="58"/><c r="X69" s="57"/><c r="Y69" s="57"/><c r="Z69" s="57"/><c r="AA69" s="57"/><c r="AB69" s="57"/><c r="AC69" s="57"/><c r="AD69" s="57"/><c r="AE69" s="57"/></row><row r="70" spans="2:31" s="51" customFormat="1" ht="15.75" x14ac:dyDescent="0.25"><c r="B70" s="184" t="str"><f>Translation!A125</f><v>Calor</v></c><c r="C70" s="237"/><c r="D70" s="237"/><c r="E70" s="237"/><c r="F70" s="237"/><c r="G70" s="237"/><c r="H70" s="237"/><c r="I70" s="59"><f>SUM(C70:H70)</f><v>0</v></c><c r="J70" s="185"><f t="shared" ref="J70:P70" si="21">J60</f><v>0</v></c><c r="K70" s="185"><f t="shared" si="21"/><v>0</v></c><c r="L70" s="185"><f t="shared" si="21"/><v>0</v></c><c r="M70" s="185"><f t="shared" si="21"/><v>0</v></c><c r="N70" s="185"><f t="shared" si="21"/><v>0</v></c><c r="O70" s="237"/><c r="P70" s="185"><f t="shared" si="21"/><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2">SUM(C69:C71)</f><v>96130</v></c><c r="D72" s="53"><f t="shared" si="22"/><v>2038</v></c><c r="E72" s="53"><f t="shared" si="22"/><v>0</v></c><c r="F72" s="53"><f t="shared" si="22"/><v>0</v></c><c r="G72" s="53"><f t="shared" si="22"/><v>0</v></c><c r="H72" s="53"><f t="shared" si="22"/><v>0</v></c><c r="I72" s="53"><f t="shared" si="22"/><v>98168</v></c><c r="J72" s="53"><f t="shared" si="22"/><v>0</v></c><c r="K72" s="53"><f t="shared" si="22"/><v>4807</v></c><c r="L72" s="53"><f t="shared" si="22"/><v>0</v></c><c r="M72" s="53"><f t="shared" si="22"/><v>0</v></c><c r="N72" s="53"><f t="shared" si="22"/><v>0</v></c><c r="O72" s="53"><f t="shared" si="22"/><v>0</v></c><c r="P72" s="53"><f t="shared" si="22"/><v>0</v></c><c r="Q72" s="53"><f t="shared" si="22"/><v>0</v></c><c r="R72" s="53"><f t="shared" si="22"/><v>4807</v></c><c r="S72" s="53"><f t="shared" si="22"/><v>102975</v></c><c r="T72" s="71"><f>S72-AC62+AB62</f><v>58326</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18" t="str"><f>Translation!A123</f><v>Produto energético</v></c><c r="C76" s="277" t="str"><f>Translation!A143</f><v>FONTE DE ENERGIA PRIMÁRIA</v></c><c r="D76" s="278"/><c r="E76" s="278"/><c r="F76" s="278"/><c r="G76" s="278"/><c r="H76" s="278"/><c r="I76" s="278"/><c r="J76" s="278"/><c r="K76" s="278"/><c r="L76" s="278"/><c r="M76" s="278"/><c r="N76" s="278"/><c r="O76" s="278"/><c r="P76" s="278"/><c r="Q76" s="278"/><c r="R76" s="278"/><c r="S76" s="278"/><c r="T76" s="278"/><c r="U76" s="278"/><c r="V76" s="278"/><c r="W76" s="278"/><c r="X76" s="278"/><c r="Y76" s="279"/></row><row r="77" spans="2:31" s="51" customFormat="1" ht="15" customHeight="1" x14ac:dyDescent="0.25"><c r="B77" s="319"/><c r="C77" s="277" t="str"><f>Translation!A99</f><v>Combustíveis fósseis</v></c><c r="D77" s="278"/><c r="E77" s="278"/><c r="F77" s="278"/><c r="G77" s="278"/><c r="H77" s="278"/><c r="I77" s="279"/><c r="J77" s="277" t="str"><f>Translation!A108</f><v>Fontes energéticas renováveis</v></c><c r="K77" s="278"/><c r="L77" s="278"/><c r="M77" s="278"/><c r="N77" s="278"/><c r="O77" s="278"/><c r="P77" s="278"/><c r="Q77" s="278"/><c r="R77" s="279"/><c r="S77" s="296" t="str"><f>Translation!A124</f><v>Electricidade</v></c><c r="T77" s="297"/><c r="U77" s="297"/><c r="V77" s="298"/><c r="W77" s="70" t="str"><f>Translation!A125</f><v>Calor</v></c><c r="X77" s="70" t="str"><f>Translation!A126</f><v>Frio</v></c><c r="Y77" s="275" t="str"><f>Translation!A119</f><v>TOTAL</v></c></row><row r="78" spans="2:31" s="51" customFormat="1" ht="46.5" customHeight="1" x14ac:dyDescent="0.25"><c r="B78" s="320"/><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76"/></row><row r="79" spans="2:31" s="51" customFormat="1" ht="15.75" x14ac:dyDescent="0.25"><c r="B79" s="107" t="str"><f>Translation!A119</f><v>TOTAL</v></c><c r="C79" s="186"><f t="shared" ref="C79:H79" si="23">G48+C72</f><v>102348</v></c><c r="D79" s="186"><f t="shared" si="23"/><v>87433</v></c><c r="E79" s="186"><f t="shared" si="23"/><v>20753</v></c><c r="F79" s="186"><f t="shared" si="23"/><v>17569</v></c><c r="G79" s="186"><f t="shared" si="23"/><v>0</v></c><c r="H79" s="186"><f t="shared" si="23"/><v>0</v></c><c r="I79" s="53"><f>SUM(C79:H79)</f><v>228103</v></c><c r="J79" s="186"><f t="shared" ref="J79:O79" si="24">N48+J72</f><v>0</v></c><c r="K79" s="186"><f t="shared" si="24"/><v>4807</v></c><c r="L79" s="186"><f t="shared" si="24"/><v>0</v></c><c r="M79" s="186"><f t="shared" si="24"/><v>0</v></c><c r="N79" s="186"><f t="shared" si="24"/><v>0</v></c><c r="O79" s="186"><f t="shared" si="24"/><v>0</v></c><c r="P79" s="186"><f>P72</f><v>0</v></c><c r="Q79" s="186"><f>Q72</f><v>0</v></c><c r="R79" s="53"><f>SUM(J79:Q79)</f><v>4807</v></c><c r="S79" s="186"><f>Y62</f><v>0</v></c><c r="T79" s="186"><f>Z62</f><v>0</v></c><c r="U79" s="186"><f>$C$49+$C$50+$C$51</f><v>0</v></c><c r="V79" s="53"><f>S79-T79-U79</f><v>0</v></c><c r="W79" s="186"><f>$D$49+$D$50+$D$51</f><v>0</v></c><c r="X79" s="186"><f>$E$49+$E$50+$E$51</f><v>0</v></c><c r="Y79" s="53"><f>I79+R79+V79-W79-X79</f><v>232910</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75" t="str"><f>Translation!A121</f><v>SECTOR DE PRODUÇÃO</v></c><c r="C83" s="303" t="str"><f>Translation!A143</f><v>FONTE DE ENERGIA PRIMÁRIA</v></c><c r="D83" s="304"/><c r="E83" s="304"/><c r="F83" s="304"/><c r="G83" s="304"/><c r="H83" s="304"/><c r="I83" s="304"/><c r="J83" s="304"/><c r="K83" s="304"/><c r="L83" s="304"/><c r="M83" s="304"/><c r="N83" s="304"/><c r="O83" s="304"/><c r="P83" s="304"/><c r="Q83" s="304"/><c r="R83" s="304"/><c r="S83" s="305"/><c r="T83" s="68"/><c r="V83" s="57"/><c r="W83" s="57"/><c r="X83" s="68"/><c r="Y83" s="57"/><c r="Z83" s="57"/><c r="AA83" s="57"/><c r="AB83" s="57"/><c r="AC83" s="57"/><c r="AD83" s="57"/><c r="AE83" s="57"/><c r="AF83" s="57"/></row><row r="84" spans="1:32" s="51" customFormat="1" ht="15" customHeight="1" x14ac:dyDescent="0.25"><c r="B84" s="276"/><c r="C84" s="303" t="str"><f>Translation!A99</f><v>Combustíveis fósseis</v></c><c r="D84" s="304"/><c r="E84" s="304"/><c r="F84" s="304"/><c r="G84" s="304"/><c r="H84" s="304"/><c r="I84" s="305"/><c r="J84" s="303" t="str"><f>Translation!A108</f><v>Fontes energéticas renováveis</v></c><c r="K84" s="304"/><c r="L84" s="304"/><c r="M84" s="304"/><c r="N84" s="304"/><c r="O84" s="304"/><c r="P84" s="304"/><c r="Q84" s="304"/><c r="R84" s="305"/><c r="S84" s="302"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2"/><c r="T85" s="68"/><c r="V85" s="57"/><c r="W85" s="57"/><c r="X85" s="68"/><c r="Y85" s="57"/><c r="Z85" s="57"/><c r="AA85" s="57"/><c r="AB85" s="57"/><c r="AC85" s="57"/><c r="AD85" s="57"/><c r="AE85" s="57"/><c r="AF85" s="57"/></row><row r="86" spans="1:32" s="51" customFormat="1" ht="15.75" x14ac:dyDescent="0.25"><c r="B86" s="184" t="str"><f>Translation!A124</f><v>Electricidade</v></c><c r="C86" s="188"><f t="shared" ref="C86:P86" si="25">IF(C69&gt;0,C59/C69,"-")</f><v>0.4144491833974826</v></c><c r="D86" s="188"><f t="shared" si="25"/><v>4.906771344455348E-4</v></c><c r="E86" s="188" t="str"><f t="shared" si="25"/><v>-</v></c><c r="F86" s="188" t="str"><f t="shared" si="25"/><v>-</v></c><c r="G86" s="188" t="str"><f t="shared" si="25"/><v>-</v></c><c r="H86" s="188" t="str"><f t="shared" si="25"/><v>-</v></c><c r="I86" s="67"><f t="shared" si="25"/><v>0.40585526851927306</v></c><c r="J86" s="188" t="str"><f t="shared" si="25"/><v>-</v></c><c r="K86" s="188"><f t="shared" si="25"/><v>1</v></c><c r="L86" s="188" t="str"><f t="shared" si="25"/><v>-</v></c><c r="M86" s="188" t="str"><f t="shared" si="25"/><v>-</v></c><c r="N86" s="188" t="str"><f t="shared" si="25"/><v>-</v></c><c r="O86" s="188" t="str"><f t="shared" si="25"/><v>-</v></c><c r="P86" s="188" t="str"><f t="shared" si="25"/><v>-</v></c><c r="Q86" s="188" t="s"><v>522</v></c><c r="R86" s="67"><f t="shared" ref="R86:S88" si="26">IF(R69&gt;0,R59/R69,"-")</f><v>1</v></c><c r="S86" s="67"><f t="shared" si="26"/><v>0.43359067734887108</v></c><c r="T86" s="58"/><c r="V86" s="57"/><c r="W86" s="57"/><c r="X86" s="58"/><c r="Y86" s="57"/><c r="Z86" s="57"/><c r="AA86" s="57"/><c r="AB86" s="57"/><c r="AC86" s="57"/><c r="AD86" s="57"/><c r="AE86" s="57"/><c r="AF86" s="57"/></row><row r="87" spans="1:32" s="51" customFormat="1" ht="15.75" x14ac:dyDescent="0.25"><c r="B87" s="184" t="str"><f>Translation!A125</f><v>Calor</v></c><c r="C87" s="188" t="str"><f t="shared" ref="C87:P87" si="27">IF(C70&gt;0,C60/C70,"-")</f><v>-</v></c><c r="D87" s="188" t="str"><f t="shared" si="27"/><v>-</v></c><c r="E87" s="188" t="str"><f t="shared" si="27"/><v>-</v></c><c r="F87" s="188" t="str"><f t="shared" si="27"/><v>-</v></c><c r="G87" s="188" t="str"><f t="shared" si="27"/><v>-</v></c><c r="H87" s="188" t="str"><f t="shared" si="27"/><v>-</v></c><c r="I87" s="67" t="str"><f t="shared" si="27"/><v>-</v></c><c r="J87" s="188" t="str"><f t="shared" si="27"/><v>-</v></c><c r="K87" s="188" t="str"><f t="shared" si="27"/><v>-</v></c><c r="L87" s="188" t="str"><f t="shared" si="27"/><v>-</v></c><c r="M87" s="188" t="str"><f t="shared" si="27"/><v>-</v></c><c r="N87" s="188" t="str"><f t="shared" si="27"/><v>-</v></c><c r="O87" s="188" t="str"><f t="shared" si="27"/><v>-</v></c><c r="P87" s="188" t="str"><f t="shared" si="27"/><v>-</v></c><c r="Q87" s="188" t="s"><v>522</v></c><c r="R87" s="67" t="str"><f t="shared" si="26"/><v>-</v></c><c r="S87" s="67" t="str"><f t="shared" si="26"/><v>-</v></c><c r="T87" s="58"/><c r="V87" s="57"/><c r="W87" s="57"/><c r="X87" s="58"/><c r="Y87" s="57"/><c r="Z87" s="57"/><c r="AA87" s="57"/><c r="AB87" s="57"/><c r="AC87" s="57"/><c r="AD87" s="57"/><c r="AE87" s="57"/><c r="AF87" s="57"/></row><row r="88" spans="1:32" s="51" customFormat="1" ht="15.75" x14ac:dyDescent="0.25"><c r="B88" s="184" t="str"><f>Translation!A126</f><v>Frio</v></c><c r="C88" s="188" t="str"><f t="shared" ref="C88:P88" si="28">IF(C71&gt;0,C61/C71,"-")</f><v>-</v></c><c r="D88" s="188" t="str"><f t="shared" si="28"/><v>-</v></c><c r="E88" s="188" t="str"><f t="shared" si="28"/><v>-</v></c><c r="F88" s="188" t="str"><f t="shared" si="28"/><v>-</v></c><c r="G88" s="188" t="str"><f t="shared" si="28"/><v>-</v></c><c r="H88" s="188" t="str"><f t="shared" si="28"/><v>-</v></c><c r="I88" s="67" t="str"><f t="shared" si="28"/><v>-</v></c><c r="J88" s="188" t="str"><f t="shared" si="28"/><v>-</v></c><c r="K88" s="188" t="str"><f t="shared" si="28"/><v>-</v></c><c r="L88" s="188" t="str"><f t="shared" si="28"/><v>-</v></c><c r="M88" s="188" t="str"><f t="shared" si="28"/><v>-</v></c><c r="N88" s="188" t="str"><f t="shared" si="28"/><v>-</v></c><c r="O88" s="188" t="str"><f t="shared" si="28"/><v>-</v></c><c r="P88" s="188" t="str"><f t="shared" si="28"/><v>-</v></c><c r="Q88" s="188" t="s"><v>522</v></c><c r="R88" s="67" t="str"><f t="shared" si="26"/><v>-</v></c><c r="S88" s="67" t="str"><f t="shared" si="26"/><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06" t="str"><f>Translation!A56</f><v>SECTOR DE PROCURA</v></c><c r="C92" s="280" t="str"><f>Translation!A94</f><v>ENERGIA PARA CONSUMO FINAL</v></c><c r="D92" s="281"/><c r="E92" s="281"/><c r="F92" s="281"/><c r="G92" s="281"/><c r="H92" s="281"/><c r="I92" s="281"/><c r="J92" s="281"/><c r="K92" s="281"/><c r="L92" s="281"/><c r="M92" s="281"/><c r="N92" s="281"/><c r="O92" s="281"/><c r="P92" s="281"/><c r="Q92" s="281"/><c r="R92" s="281"/><c r="S92" s="281"/><c r="T92" s="281"/><c r="U92" s="282"/></row><row r="93" spans="1:32" s="51" customFormat="1" ht="18" customHeight="1" x14ac:dyDescent="0.25"><c r="B93" s="307"/><c r="C93" s="280" t="str"><f>Translation!A95</f><v>Serviços energéticos centralizados</v></c><c r="D93" s="281"/><c r="E93" s="281"/><c r="F93" s="282"/><c r="G93" s="280" t="str"><f>Translation!A99</f><v>Combustíveis fósseis</v></c><c r="H93" s="281"/><c r="I93" s="281"/><c r="J93" s="281"/><c r="K93" s="281"/><c r="L93" s="281"/><c r="M93" s="282"/><c r="N93" s="280" t="str"><f>Translation!A106</f><v>Fontes energéticas renováveis (excluindo electricidade e calor para venda a redes públicas)</v></c><c r="O93" s="281"/><c r="P93" s="281"/><c r="Q93" s="281"/><c r="R93" s="281"/><c r="S93" s="281"/><c r="T93" s="282"/><c r="U93" s="289"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91"/></row><row r="95" spans="1:32" s="21" customFormat="1" ht="15.75" x14ac:dyDescent="0.25"><c r="A95" s="22"/><c r="B95" s="66" t="str"><f>Translation!A60</f><v>RESIDENCIAL</v></c><c r="C95" s="64"><f>SUM(C96:C104)</f><v>11409.708703075496</v></c><c r="D95" s="64"><f>SUM(D96:D104)</f><v>0</v></c><c r="E95" s="64"><f>SUM(E96:E104)</f><v>0</v></c><c r="F95" s="64"><f t="shared" ref="F95:F126" si="29">SUM(C95:E95)</f><v>11409.708703075496</v></c><c r="G95" s="64"><f t="shared" ref="G95:L95" si="30">SUM(G96:G104)</f><v>0</v></c><c r="H95" s="64"><f t="shared" si="30"/><v>0</v></c><c r="I95" s="64"><f t="shared" si="30"/><v>0</v></c><c r="J95" s="64"><f t="shared" si="30"/><v>4216.5599999999995</v></c><c r="K95" s="64"><f t="shared" si="30"/><v>0</v></c><c r="L95" s="64"><f t="shared" si="30"/><v>0</v></c><c r="M95" s="64"><f t="shared" ref="M95:M126" si="31">SUM(G95:L95)</f><v>4216.5599999999995</v></c><c r="N95" s="64"><f t="shared" ref="N95:S95" si="32">SUM(N96:N104)</f><v>0</v></c><c r="O95" s="64"><f t="shared" si="32"/><v>0</v></c><c r="P95" s="64"><f t="shared" si="32"/><v>0</v></c><c r="Q95" s="64"><f t="shared" si="32"/><v>0</v></c><c r="R95" s="64"><f t="shared" si="32"/><v>0</v></c><c r="S95" s="64"><f t="shared" si="32"/><v>0</v></c><c r="T95" s="64"><f t="shared" ref="T95:T126" si="33">SUM(N95:S95)</f><v>0</v></c><c r="U95" s="64"><f t="shared" ref="U95:U126" si="34">F95+M95+T95</f><v>15626.268703075495</v></c></row><row r="96" spans="1:32" s="21" customFormat="1" ht="15.75" x14ac:dyDescent="0.25"><c r="A96" s="22"/><c r="B96" s="182" t="str"><f>Translation!A61</f><v>Água quente</v></c><c r="C96" s="185"><f t="shared" ref="C96:C104" si="35">IF(AND(C$48&gt;0,($S$133+$V$143)&gt;0), ($S$133+$V$143)/C$48,0)*C18</f><v>11409.708703075496</v></c><c r="D96" s="185"><f t="shared" ref="D96:D104" si="36">IF(AND(D$48&gt;0,$S$134&gt;0), ($S$134)/D$48,0)*D18</f><v>0</v></c><c r="E96" s="185"><f t="shared" ref="E96:E104" si="37">IF(AND(E$48&gt;0,$S$135&gt;0), ($S$135)/E$48,0)*E18</f><v>0</v></c><c r="F96" s="64"><f t="shared" si="29"/><v>11409.708703075496</v></c><c r="G96" s="185"><f>'CO2 factors'!C$7*G18</f><v>0</v></c><c r="H96" s="185"><f>'CO2 factors'!D$7*H18</f><v>0</v></c><c r="I96" s="185"><f>'CO2 factors'!E$7*I18</f><v>0</v></c><c r="J96" s="185"><f>'CO2 factors'!F$7*J18</f><v>4216.5599999999995</v></c><c r="K96" s="185"><f>'CO2 factors'!G$7*K18</f><v>0</v></c><c r="L96" s="185"><f>'CO2 factors'!H$7*L18</f><v>0</v></c><c r="M96" s="64"><f t="shared" si="31"/><v>4216.5599999999995</v></c><c r="N96" s="185"><f>'CO2 factors'!J$7*N18</f><v>0</v></c><c r="O96" s="185"><f>'CO2 factors'!K$7*O18</f><v>0</v></c><c r="P96" s="185"><f>'CO2 factors'!L$7*P18</f><v>0</v></c><c r="Q96" s="185"><f>'CO2 factors'!M$7*Q18</f><v>0</v></c><c r="R96" s="185"><f>'CO2 factors'!N$7*R18</f><v>0</v></c><c r="S96" s="185"><f>'CO2 factors'!O$7*S18</f><v>0</v></c><c r="T96" s="64"><f t="shared" si="33"/><v>0</v></c><c r="U96" s="64"><f t="shared" si="34"/><v>15626.268703075495</v></c></row><row r="97" spans="1:21" s="21" customFormat="1" ht="15.75" x14ac:dyDescent="0.25"><c r="A97" s="22"/><c r="B97" s="182" t="str"><f>Translation!A62</f><v>Aquecimento e arrefecimento</v></c><c r="C97" s="185"><f t="shared" si="35"/><v>0</v></c><c r="D97" s="185"><f t="shared" si="36"/><v>0</v></c><c r="E97" s="185"><f t="shared" si="37"/><v>0</v></c><c r="F97" s="64"><f t="shared" si="29"/><v>0</v></c><c r="G97" s="185"><f>'CO2 factors'!C$7*G19</f><v>0</v></c><c r="H97" s="185"><f>'CO2 factors'!D$7*H19</f><v>0</v></c><c r="I97" s="185"><f>'CO2 factors'!E$7*I19</f><v>0</v></c><c r="J97" s="185"><f>'CO2 factors'!F$7*J19</f><v>0</v></c><c r="K97" s="185"><f>'CO2 factors'!G$7*K19</f><v>0</v></c><c r="L97" s="185"><f>'CO2 factors'!H$7*L19</f><v>0</v></c><c r="M97" s="64"><f t="shared" si="31"/><v>0</v></c><c r="N97" s="185"><f>'CO2 factors'!J$7*N19</f><v>0</v></c><c r="O97" s="185"><f>'CO2 factors'!K$7*O19</f><v>0</v></c><c r="P97" s="185"><f>'CO2 factors'!L$7*P19</f><v>0</v></c><c r="Q97" s="185"><f>'CO2 factors'!M$7*Q19</f><v>0</v></c><c r="R97" s="185"><f>'CO2 factors'!N$7*R19</f><v>0</v></c><c r="S97" s="185"><f>'CO2 factors'!O$7*S19</f><v>0</v></c><c r="T97" s="64"><f t="shared" si="33"/><v>0</v></c><c r="U97" s="64"><f t="shared" si="34"/><v>0</v></c></row><row r="98" spans="1:21" s="21" customFormat="1" ht="15.75" x14ac:dyDescent="0.25"><c r="A98" s="22"/><c r="B98" s="182" t="str"><f>Translation!A63</f><v>Iluminação</v></c><c r="C98" s="185"><f t="shared" si="35"/><v>0</v></c><c r="D98" s="185"><f t="shared" si="36"/><v>0</v></c><c r="E98" s="185"><f t="shared" si="37"/><v>0</v></c><c r="F98" s="64"><f t="shared" si="29"/><v>0</v></c><c r="G98" s="185"><f>'CO2 factors'!C$7*G20</f><v>0</v></c><c r="H98" s="185"><f>'CO2 factors'!D$7*H20</f><v>0</v></c><c r="I98" s="185"><f>'CO2 factors'!E$7*I20</f><v>0</v></c><c r="J98" s="185"><f>'CO2 factors'!F$7*J20</f><v>0</v></c><c r="K98" s="185"><f>'CO2 factors'!G$7*K20</f><v>0</v></c><c r="L98" s="185"><f>'CO2 factors'!H$7*L20</f><v>0</v></c><c r="M98" s="64"><f t="shared" si="31"/><v>0</v></c><c r="N98" s="185"><f>'CO2 factors'!J$7*N20</f><v>0</v></c><c r="O98" s="185"><f>'CO2 factors'!K$7*O20</f><v>0</v></c><c r="P98" s="185"><f>'CO2 factors'!L$7*P20</f><v>0</v></c><c r="Q98" s="185"><f>'CO2 factors'!M$7*Q20</f><v>0</v></c><c r="R98" s="185"><f>'CO2 factors'!N$7*R20</f><v>0</v></c><c r="S98" s="185"><f>'CO2 factors'!O$7*S20</f><v>0</v></c><c r="T98" s="64"><f t="shared" si="33"/><v>0</v></c><c r="U98" s="64"><f t="shared" si="34"/><v>0</v></c></row><row r="99" spans="1:21" s="21" customFormat="1" ht="15.75" x14ac:dyDescent="0.25"><c r="A99" s="22"/><c r="B99" s="182" t="str"><f>Translation!A64</f><v>Cozinha</v></c><c r="C99" s="185"><f t="shared" si="35"/><v>0</v></c><c r="D99" s="185"><f t="shared" si="36"/><v>0</v></c><c r="E99" s="185"><f t="shared" si="37"/><v>0</v></c><c r="F99" s="64"><f t="shared" si="29"/><v>0</v></c><c r="G99" s="185"><f>'CO2 factors'!C$7*G21</f><v>0</v></c><c r="H99" s="185"><f>'CO2 factors'!D$7*H21</f><v>0</v></c><c r="I99" s="185"><f>'CO2 factors'!E$7*I21</f><v>0</v></c><c r="J99" s="185"><f>'CO2 factors'!F$7*J21</f><v>0</v></c><c r="K99" s="185"><f>'CO2 factors'!G$7*K21</f><v>0</v></c><c r="L99" s="185"><f>'CO2 factors'!H$7*L21</f><v>0</v></c><c r="M99" s="64"><f t="shared" si="31"/><v>0</v></c><c r="N99" s="185"><f>'CO2 factors'!J$7*N21</f><v>0</v></c><c r="O99" s="185"><f>'CO2 factors'!K$7*O21</f><v>0</v></c><c r="P99" s="185"><f>'CO2 factors'!L$7*P21</f><v>0</v></c><c r="Q99" s="185"><f>'CO2 factors'!M$7*Q21</f><v>0</v></c><c r="R99" s="185"><f>'CO2 factors'!N$7*R21</f><v>0</v></c><c r="S99" s="185"><f>'CO2 factors'!O$7*S21</f><v>0</v></c><c r="T99" s="64"><f t="shared" si="33"/><v>0</v></c><c r="U99" s="64"><f t="shared" si="34"/><v>0</v></c></row><row r="100" spans="1:21" s="21" customFormat="1" ht="15.75" x14ac:dyDescent="0.25"><c r="A100" s="22"/><c r="B100" s="182" t="str"><f>Translation!A65</f><v>Frigoríficos e congeladores</v></c><c r="C100" s="185"><f t="shared" si="35"/><v>0</v></c><c r="D100" s="185"><f t="shared" si="36"/><v>0</v></c><c r="E100" s="185"><f t="shared" si="37"/><v>0</v></c><c r="F100" s="64"><f t="shared" si="29"/><v>0</v></c><c r="G100" s="185"><f>'CO2 factors'!C$7*G22</f><v>0</v></c><c r="H100" s="185"><f>'CO2 factors'!D$7*H22</f><v>0</v></c><c r="I100" s="185"><f>'CO2 factors'!E$7*I22</f><v>0</v></c><c r="J100" s="185"><f>'CO2 factors'!F$7*J22</f><v>0</v></c><c r="K100" s="185"><f>'CO2 factors'!G$7*K22</f><v>0</v></c><c r="L100" s="185"><f>'CO2 factors'!H$7*L22</f><v>0</v></c><c r="M100" s="64"><f t="shared" si="31"/><v>0</v></c><c r="N100" s="185"><f>'CO2 factors'!J$7*N22</f><v>0</v></c><c r="O100" s="185"><f>'CO2 factors'!K$7*O22</f><v>0</v></c><c r="P100" s="185"><f>'CO2 factors'!L$7*P22</f><v>0</v></c><c r="Q100" s="185"><f>'CO2 factors'!M$7*Q22</f><v>0</v></c><c r="R100" s="185"><f>'CO2 factors'!N$7*R22</f><v>0</v></c><c r="S100" s="185"><f>'CO2 factors'!O$7*S22</f><v>0</v></c><c r="T100" s="64"><f t="shared" si="33"/><v>0</v></c><c r="U100" s="64"><f t="shared" si="34"/><v>0</v></c></row><row r="101" spans="1:21" s="21" customFormat="1" ht="15.75" x14ac:dyDescent="0.25"><c r="A101" s="22"/><c r="B101" s="182" t="str"><f>Translation!A66</f><v>Máquinas de lavar e secar roupa</v></c><c r="C101" s="185"><f t="shared" si="35"/><v>0</v></c><c r="D101" s="185"><f t="shared" si="36"/><v>0</v></c><c r="E101" s="185"><f t="shared" si="37"/><v>0</v></c><c r="F101" s="64"><f t="shared" si="29"/><v>0</v></c><c r="G101" s="185"><f>'CO2 factors'!C$7*G23</f><v>0</v></c><c r="H101" s="185"><f>'CO2 factors'!D$7*H23</f><v>0</v></c><c r="I101" s="185"><f>'CO2 factors'!E$7*I23</f><v>0</v></c><c r="J101" s="185"><f>'CO2 factors'!F$7*J23</f><v>0</v></c><c r="K101" s="185"><f>'CO2 factors'!G$7*K23</f><v>0</v></c><c r="L101" s="185"><f>'CO2 factors'!H$7*L23</f><v>0</v></c><c r="M101" s="64"><f t="shared" si="31"/><v>0</v></c><c r="N101" s="185"><f>'CO2 factors'!J$7*N23</f><v>0</v></c><c r="O101" s="185"><f>'CO2 factors'!K$7*O23</f><v>0</v></c><c r="P101" s="185"><f>'CO2 factors'!L$7*P23</f><v>0</v></c><c r="Q101" s="185"><f>'CO2 factors'!M$7*Q23</f><v>0</v></c><c r="R101" s="185"><f>'CO2 factors'!N$7*R23</f><v>0</v></c><c r="S101" s="185"><f>'CO2 factors'!O$7*S23</f><v>0</v></c><c r="T101" s="64"><f t="shared" si="33"/><v>0</v></c><c r="U101" s="64"><f t="shared" si="34"/><v>0</v></c></row><row r="102" spans="1:21" s="21" customFormat="1" ht="15.75" x14ac:dyDescent="0.25"><c r="A102" s="22"/><c r="B102" s="182" t="str"><f>Translation!A67</f><v>Máquinas de lavar louça</v></c><c r="C102" s="185"><f t="shared" si="35"/><v>0</v></c><c r="D102" s="185"><f t="shared" si="36"/><v>0</v></c><c r="E102" s="185"><f t="shared" si="37"/><v>0</v></c><c r="F102" s="64"><f t="shared" si="29"/><v>0</v></c><c r="G102" s="185"><f>'CO2 factors'!C$7*G24</f><v>0</v></c><c r="H102" s="185"><f>'CO2 factors'!D$7*H24</f><v>0</v></c><c r="I102" s="185"><f>'CO2 factors'!E$7*I24</f><v>0</v></c><c r="J102" s="185"><f>'CO2 factors'!F$7*J24</f><v>0</v></c><c r="K102" s="185"><f>'CO2 factors'!G$7*K24</f><v>0</v></c><c r="L102" s="185"><f>'CO2 factors'!H$7*L24</f><v>0</v></c><c r="M102" s="64"><f t="shared" si="31"/><v>0</v></c><c r="N102" s="185"><f>'CO2 factors'!J$7*N24</f><v>0</v></c><c r="O102" s="185"><f>'CO2 factors'!K$7*O24</f><v>0</v></c><c r="P102" s="185"><f>'CO2 factors'!L$7*P24</f><v>0</v></c><c r="Q102" s="185"><f>'CO2 factors'!M$7*Q24</f><v>0</v></c><c r="R102" s="185"><f>'CO2 factors'!N$7*R24</f><v>0</v></c><c r="S102" s="185"><f>'CO2 factors'!O$7*S24</f><v>0</v></c><c r="T102" s="64"><f t="shared" si="33"/><v>0</v></c><c r="U102" s="64"><f t="shared" si="34"/><v>0</v></c></row><row r="103" spans="1:21" s="21" customFormat="1" ht="15.75" x14ac:dyDescent="0.25"><c r="A103" s="22"/><c r="B103" s="182" t="str"><f>Translation!A68</f><v>Televisores</v></c><c r="C103" s="185"><f t="shared" si="35"/><v>0</v></c><c r="D103" s="185"><f t="shared" si="36"/><v>0</v></c><c r="E103" s="185"><f t="shared" si="37"/><v>0</v></c><c r="F103" s="64"><f t="shared" si="29"/><v>0</v></c><c r="G103" s="185"><f>'CO2 factors'!C$7*G25</f><v>0</v></c><c r="H103" s="185"><f>'CO2 factors'!D$7*H25</f><v>0</v></c><c r="I103" s="185"><f>'CO2 factors'!E$7*I25</f><v>0</v></c><c r="J103" s="185"><f>'CO2 factors'!F$7*J25</f><v>0</v></c><c r="K103" s="185"><f>'CO2 factors'!G$7*K25</f><v>0</v></c><c r="L103" s="185"><f>'CO2 factors'!H$7*L25</f><v>0</v></c><c r="M103" s="64"><f t="shared" si="31"/><v>0</v></c><c r="N103" s="185"><f>'CO2 factors'!J$7*N25</f><v>0</v></c><c r="O103" s="185"><f>'CO2 factors'!K$7*O25</f><v>0</v></c><c r="P103" s="185"><f>'CO2 factors'!L$7*P25</f><v>0</v></c><c r="Q103" s="185"><f>'CO2 factors'!M$7*Q25</f><v>0</v></c><c r="R103" s="185"><f>'CO2 factors'!N$7*R25</f><v>0</v></c><c r="S103" s="185"><f>'CO2 factors'!O$7*S25</f><v>0</v></c><c r="T103" s="64"><f t="shared" si="33"/><v>0</v></c><c r="U103" s="64"><f t="shared" si="34"/><v>0</v></c></row><row r="104" spans="1:21" s="21" customFormat="1" ht="15.75" x14ac:dyDescent="0.25"><c r="A104" s="22"/><c r="B104" s="182" t="str"><f>Translation!A69</f><v>Outros aparelhos eléctricos</v></c><c r="C104" s="185"><f t="shared" si="35"/><v>0</v></c><c r="D104" s="185"><f t="shared" si="36"/><v>0</v></c><c r="E104" s="185"><f t="shared" si="37"/><v>0</v></c><c r="F104" s="64"><f t="shared" si="29"/><v>0</v></c><c r="G104" s="185"><f>'CO2 factors'!C$7*G26</f><v>0</v></c><c r="H104" s="185"><f>'CO2 factors'!D$7*H26</f><v>0</v></c><c r="I104" s="185"><f>'CO2 factors'!E$7*I26</f><v>0</v></c><c r="J104" s="185"><f>'CO2 factors'!F$7*J26</f><v>0</v></c><c r="K104" s="185"><f>'CO2 factors'!G$7*K26</f><v>0</v></c><c r="L104" s="185"><f>'CO2 factors'!H$7*L26</f><v>0</v></c><c r="M104" s="64"><f t="shared" si="31"/><v>0</v></c><c r="N104" s="185"><f>'CO2 factors'!J$7*N26</f><v>0</v></c><c r="O104" s="185"><f>'CO2 factors'!K$7*O26</f><v>0</v></c><c r="P104" s="185"><f>'CO2 factors'!L$7*P26</f><v>0</v></c><c r="Q104" s="185"><f>'CO2 factors'!M$7*Q26</f><v>0</v></c><c r="R104" s="185"><f>'CO2 factors'!N$7*R26</f><v>0</v></c><c r="S104" s="185"><f>'CO2 factors'!O$7*S26</f><v>0</v></c><c r="T104" s="64"><f t="shared" si="33"/><v>0</v></c><c r="U104" s="64"><f t="shared" si="34"/><v>0</v></c></row><row r="105" spans="1:21" s="21" customFormat="1" ht="15.75" x14ac:dyDescent="0.25"><c r="A105" s="22"/><c r="B105" s="66" t="str"><f>Translation!A70</f><v>SECTOR PRIMÁRIO</v></c><c r="C105" s="64"><f>SUM(C106:C107)</f><v>603.73302480734731</v></c><c r="D105" s="64"><f>SUM(D106:D107)</f><v>0</v></c><c r="E105" s="64"><f>SUM(E106:E107)</f><v>0</v></c><c r="F105" s="64"><f t="shared" si="29"/><v>603.73302480734731</v></c><c r="G105" s="64"><f t="shared" ref="G105:L105" si="38">SUM(G106:G107)</f><v>0</v></c><c r="H105" s="64"><f t="shared" si="38"/><v>7550.2260000000006</v></c><c r="I105" s="64"><f t="shared" si="38"/><v>0</v></c><c r="J105" s="64"><f t="shared" si="38"/><v>0</v></c><c r="K105" s="64"><f t="shared" si="38"/><v>0</v></c><c r="L105" s="64"><f t="shared" si="38"/><v>0</v></c><c r="M105" s="64"><f t="shared" si="31"/><v>7550.2260000000006</v></c><c r="N105" s="64"><f t="shared" ref="N105:S105" si="39">SUM(N106:N107)</f><v>0</v></c><c r="O105" s="64"><f t="shared" si="39"/><v>0</v></c><c r="P105" s="64"><f t="shared" si="39"/><v>0</v></c><c r="Q105" s="64"><f t="shared" si="39"/><v>0</v></c><c r="R105" s="64"><f t="shared" si="39"/><v>0</v></c><c r="S105" s="64"><f t="shared" si="39"/><v>0</v></c><c r="T105" s="64"><f t="shared" si="33"/><v>0</v></c><c r="U105" s="64"><f t="shared" si="34"/><v>8153.9590248073482</v></c></row><row r="106" spans="1:21" s="21" customFormat="1" ht="15.75" x14ac:dyDescent="0.25"><c r="A106" s="22"/><c r="B106" s="183" t="str"><f>Translation!A71</f><v>Agricultura, produção animal, caça, floresta e pesca</v></c><c r="C106" s="185"><f>IF(AND(C$48&gt;0,($S$133+$V$143)&gt;0), ($S$133+$V$143)/C$48,0)*C28</f><v>603.73302480734731</v></c><c r="D106" s="185"><f>IF(AND(D$48&gt;0,$S$134&gt;0), ($S$134)/D$48,0)*D28</f><v>0</v></c><c r="E106" s="185"><f>IF(AND(E$48&gt;0,$S$135&gt;0), ($S$135)/E$48,0)*E28</f><v>0</v></c><c r="F106" s="64"><f t="shared" si="29"/><v>603.73302480734731</v></c><c r="G106" s="185"><f>'CO2 factors'!C$7*G28</f><v>0</v></c><c r="H106" s="185"><f>'CO2 factors'!D$7*H28</f><v>7550.2260000000006</v></c><c r="I106" s="185"><f>'CO2 factors'!E$7*I28</f><v>0</v></c><c r="J106" s="185"><f>'CO2 factors'!F$7*J28</f><v>0</v></c><c r="K106" s="185"><f>'CO2 factors'!G$7*K28</f><v>0</v></c><c r="L106" s="185"><f>'CO2 factors'!H$7*L28</f><v>0</v></c><c r="M106" s="64"><f t="shared" si="31"/><v>7550.2260000000006</v></c><c r="N106" s="185"><f>'CO2 factors'!J$7*N28</f><v>0</v></c><c r="O106" s="185"><f>'CO2 factors'!K$7*O28</f><v>0</v></c><c r="P106" s="185"><f>'CO2 factors'!L$7*P28</f><v>0</v></c><c r="Q106" s="185"><f>'CO2 factors'!M$7*Q28</f><v>0</v></c><c r="R106" s="185"><f>'CO2 factors'!N$7*R28</f><v>0</v></c><c r="S106" s="185"><f>'CO2 factors'!O$7*S28</f><v>0</v></c><c r="T106" s="64"><f t="shared" si="33"/><v>0</v></c><c r="U106" s="64"><f t="shared" si="34"/><v>8153.9590248073482</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9"/><v>0</v></c><c r="G107" s="185"><f>'CO2 factors'!C$7*G29</f><v>0</v></c><c r="H107" s="185"><f>'CO2 factors'!D$7*H29</f><v>0</v></c><c r="I107" s="185"><f>'CO2 factors'!E$7*I29</f><v>0</v></c><c r="J107" s="185"><f>'CO2 factors'!F$7*J29</f><v>0</v></c><c r="K107" s="185"><f>'CO2 factors'!G$7*K29</f><v>0</v></c><c r="L107" s="185"><f>'CO2 factors'!H$7*L29</f><v>0</v></c><c r="M107" s="64"><f t="shared" si="31"/><v>0</v></c><c r="N107" s="185"><f>'CO2 factors'!J$7*N29</f><v>0</v></c><c r="O107" s="185"><f>'CO2 factors'!K$7*O29</f><v>0</v></c><c r="P107" s="185"><f>'CO2 factors'!L$7*P29</f><v>0</v></c><c r="Q107" s="185"><f>'CO2 factors'!M$7*Q29</f><v>0</v></c><c r="R107" s="185"><f>'CO2 factors'!N$7*R29</f><v>0</v></c><c r="S107" s="185"><f>'CO2 factors'!O$7*S29</f><v>0</v></c><c r="T107" s="64"><f t="shared" si="33"/><v>0</v></c><c r="U107" s="64"><f t="shared" si="34"/><v>0</v></c></row><row r="108" spans="1:21" s="21" customFormat="1" ht="15.75" x14ac:dyDescent="0.25"><c r="A108" s="22"/><c r="B108" s="61" t="str"><f>Translation!A73</f><v>SECTOR SECUNDÁRIO</v></c><c r="C108" s="64"><f>SUM(C109:C111)</f><v>3408.0796183082607</v></c><c r="D108" s="64"><f>SUM(D109:D111)</f><v>0</v></c><c r="E108" s="64"><f>SUM(E109:E111)</f><v>0</v></c><c r="F108" s="64"><f t="shared" si="29"/><v>3408.0796183082607</v></c><c r="G108" s="64"><f t="shared" ref="G108:L108" si="40">SUM(G109:G111)</f><v>1734.8220000000001</v></c><c r="H108" s="64"><f t="shared" si="40"/><v>0</v></c><c r="I108" s="64"><f t="shared" si="40"/><v>0</v></c><c r="J108" s="64"><f t="shared" si="40"/><v>0</v></c><c r="K108" s="64"><f t="shared" si="40"/><v>0</v></c><c r="L108" s="64"><f t="shared" si="40"/><v>0</v></c><c r="M108" s="64"><f t="shared" si="31"/><v>1734.8220000000001</v></c><c r="N108" s="64"><f t="shared" ref="N108:S108" si="41">SUM(N109:N111)</f><v>0</v></c><c r="O108" s="64"><f t="shared" si="41"/><v>0</v></c><c r="P108" s="64"><f t="shared" si="41"/><v>0</v></c><c r="Q108" s="64"><f t="shared" si="41"/><v>0</v></c><c r="R108" s="64"><f t="shared" si="41"/><v>0</v></c><c r="S108" s="64"><f t="shared" si="41"/><v>0</v></c><c r="T108" s="64"><f t="shared" si="33"/><v>0</v></c><c r="U108" s="64"><f t="shared" si="34"/><v>5142.9016183082604</v></c></row><row r="109" spans="1:21" s="21" customFormat="1" ht="15.75" x14ac:dyDescent="0.25"><c r="A109" s="22"/><c r="B109" s="183" t="str"><f>Translation!A74</f><v>Indústrias transformadoras</v></c><c r="C109" s="185"><f>IF(AND(C$48&gt;0,($S$133+$V$143)&gt;0), ($S$133+$V$143)/C$48,0)*C31</f><v>2708.3087260584002</v></c><c r="D109" s="185"><f>IF(AND(D$48&gt;0,$S$134&gt;0), ($S$134)/D$48,0)*D31</f><v>0</v></c><c r="E109" s="185"><f>IF(AND(E$48&gt;0,$S$135&gt;0), ($S$135)/E$48,0)*E31</f><v>0</v></c><c r="F109" s="64"><f t="shared" si="29"/><v>2708.3087260584002</v></c><c r="G109" s="185"><f>'CO2 factors'!C$7*G31</f><v>1734.8220000000001</v></c><c r="H109" s="185"><f>'CO2 factors'!D$7*H31</f><v>0</v></c><c r="I109" s="185"><f>'CO2 factors'!E$7*I31</f><v>0</v></c><c r="J109" s="185"><f>'CO2 factors'!F$7*J31</f><v>0</v></c><c r="K109" s="185"><f>'CO2 factors'!G$7*K31</f><v>0</v></c><c r="L109" s="185"><f>'CO2 factors'!H$7*L31</f><v>0</v></c><c r="M109" s="64"><f t="shared" si="31"/><v>1734.8220000000001</v></c><c r="N109" s="185"><f>'CO2 factors'!J$7*N31</f><v>0</v></c><c r="O109" s="185"><f>'CO2 factors'!K$7*O31</f><v>0</v></c><c r="P109" s="185"><f>'CO2 factors'!L$7*P31</f><v>0</v></c><c r="Q109" s="185"><f>'CO2 factors'!M$7*Q31</f><v>0</v></c><c r="R109" s="185"><f>'CO2 factors'!N$7*R31</f><v>0</v></c><c r="S109" s="185"><f>'CO2 factors'!O$7*S31</f><v>0</v></c><c r="T109" s="64"><f t="shared" si="33"/><v>0</v></c><c r="U109" s="64"><f t="shared" si="34"/><v>4443.1307260583999</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9"/><v>0</v></c><c r="G110" s="185"><f>'CO2 factors'!C$7*G32</f><v>0</v></c><c r="H110" s="185"><f>'CO2 factors'!D$7*H32</f><v>0</v></c><c r="I110" s="185"><f>'CO2 factors'!E$7*I32</f><v>0</v></c><c r="J110" s="185"><f>'CO2 factors'!F$7*J32</f><v>0</v></c><c r="K110" s="185"><f>'CO2 factors'!G$7*K32</f><v>0</v></c><c r="L110" s="185"><f>'CO2 factors'!H$7*L32</f><v>0</v></c><c r="M110" s="64"><f t="shared" si="31"/><v>0</v></c><c r="N110" s="185"><f>'CO2 factors'!J$7*N32</f><v>0</v></c><c r="O110" s="185"><f>'CO2 factors'!K$7*O32</f><v>0</v></c><c r="P110" s="185"><f>'CO2 factors'!L$7*P32</f><v>0</v></c><c r="Q110" s="185"><f>'CO2 factors'!M$7*Q32</f><v>0</v></c><c r="R110" s="185"><f>'CO2 factors'!N$7*R32</f><v>0</v></c><c r="S110" s="185"><f>'CO2 factors'!O$7*S32</f><v>0</v></c><c r="T110" s="64"><f t="shared" si="33"/><v>0</v></c><c r="U110" s="64"><f t="shared" si="34"/><v>0</v></c></row><row r="111" spans="1:21" s="21" customFormat="1" ht="15.75" x14ac:dyDescent="0.25"><c r="A111" s="22"/><c r="B111" s="183" t="str"><f>Translation!A76</f><v>Construção</v></c><c r="C111" s="185"><f>IF(AND(C$48&gt;0,($S$133+$V$143)&gt;0), ($S$133+$V$143)/C$48,0)*C33</f><v>699.77089224986059</v></c><c r="D111" s="185"><f>IF(AND(D$48&gt;0,$S$134&gt;0), ($S$134)/D$48,0)*D33</f><v>0</v></c><c r="E111" s="185"><f>IF(AND(E$48&gt;0,$S$135&gt;0), ($S$135)/E$48,0)*E33</f><v>0</v></c><c r="F111" s="64"><f t="shared" si="29"/><v>699.77089224986059</v></c><c r="G111" s="75"><f>'CO2 factors'!C$7*G33</f><v>0</v></c><c r="H111" s="75"><f>'CO2 factors'!D$7*H33</f><v>0</v></c><c r="I111" s="75"><f>'CO2 factors'!E$7*I33</f><v>0</v></c><c r="J111" s="75"><f>'CO2 factors'!F$7*J33</f><v>0</v></c><c r="K111" s="75"><f>'CO2 factors'!G$7*K33</f><v>0</v></c><c r="L111" s="75"><f>'CO2 factors'!H$7*L33</f><v>0</v></c><c r="M111" s="64"><f t="shared" si="31"/><v>0</v></c><c r="N111" s="75"><f>'CO2 factors'!J$7*N33</f><v>0</v></c><c r="O111" s="75"><f>'CO2 factors'!K$7*O33</f><v>0</v></c><c r="P111" s="75"><f>'CO2 factors'!L$7*P33</f><v>0</v></c><c r="Q111" s="75"><f>'CO2 factors'!M$7*Q33</f><v>0</v></c><c r="R111" s="75"><f>'CO2 factors'!N$7*R33</f><v>0</v></c><c r="S111" s="75"><f>'CO2 factors'!O$7*S33</f><v>0</v></c><c r="T111" s="64"><f t="shared" si="33"/><v>0</v></c><c r="U111" s="64"><f t="shared" si="34"/><v>699.77089224986059</v></c></row><row r="112" spans="1:21" s="21" customFormat="1" ht="15.75" x14ac:dyDescent="0.25"><c r="A112" s="22"/><c r="B112" s="61" t="str"><f>Translation!A77</f><v>SECTOR TERCIÁRIO</v></c><c r="C112" s="64"><f>SUM(C113:C120)</f><v>11891.116920125753</v></c><c r="D112" s="64"><f>SUM(D113:D120)</f><v>0</v></c><c r="E112" s="64"><f>SUM(E113:E120)</f><v>0</v></c><c r="F112" s="64"><f t="shared" si="29"/><v>11891.116920125753</v></c><c r="G112" s="64"><f t="shared" ref="G112:L112" si="42">SUM(G113:G120)</f><v>0</v></c><c r="H112" s="64"><f t="shared" si="42"/><v>0</v></c><c r="I112" s="64"><f t="shared" si="42"/><v>0</v></c><c r="J112" s="64"><f t="shared" si="42"/><v>0</v></c><c r="K112" s="64"><f t="shared" si="42"/><v>0</v></c><c r="L112" s="64"><f t="shared" si="42"/><v>0</v></c><c r="M112" s="64"><f t="shared" si="31"/><v>0</v></c><c r="N112" s="64"><f t="shared" ref="N112:S112" si="43">SUM(N113:N120)</f><v>0</v></c><c r="O112" s="64"><f t="shared" si="43"/><v>0</v></c><c r="P112" s="64"><f t="shared" si="43"/><v>0</v></c><c r="Q112" s="64"><f t="shared" si="43"/><v>0</v></c><c r="R112" s="64"><f t="shared" si="43"/><v>0</v></c><c r="S112" s="64"><f t="shared" si="43"/><v>0</v></c><c r="T112" s="64"><f t="shared" si="33"/><v>0</v></c><c r="U112" s="64"><f t="shared" si="34"/><v>11891.116920125753</v></c></row><row r="113" spans="1:23" s="21" customFormat="1" ht="30" x14ac:dyDescent="0.25"><c r="A113" s="22"/><c r="B113" s="183" t="str"><f>Translation!A78</f><v>Comércio por grosso e a retalho; reparação de veículos automóveis e motociclos</v></c><c r="C113" s="185"><f t="shared" ref="C113:C120" si="44">IF(AND(C$48&gt;0,($S$133+$V$143)&gt;0), ($S$133+$V$143)/C$48,0)*C35</f><v>2944.7291412811264</v></c><c r="D113" s="185"><f t="shared" ref="D113:D120" si="45">IF(AND(D$48&gt;0,$S$134&gt;0), ($S$134)/D$48,0)*D35</f><v>0</v></c><c r="E113" s="185"><f t="shared" ref="E113:E120" si="46">IF(AND(E$48&gt;0,$S$135&gt;0), ($S$135)/E$48,0)*E35</f><v>0</v></c><c r="F113" s="64"><f t="shared" si="29"/><v>2944.7291412811264</v></c><c r="G113" s="185"><f>'CO2 factors'!C$7*G35</f><v>0</v></c><c r="H113" s="185"><f>'CO2 factors'!D$7*H35</f><v>0</v></c><c r="I113" s="185"><f>'CO2 factors'!E$7*I35</f><v>0</v></c><c r="J113" s="185"><f>'CO2 factors'!F$7*J35</f><v>0</v></c><c r="K113" s="185"><f>'CO2 factors'!G$7*K35</f><v>0</v></c><c r="L113" s="185"><f>'CO2 factors'!H$7*L35</f><v>0</v></c><c r="M113" s="64"><f t="shared" si="31"/><v>0</v></c><c r="N113" s="185"><f>'CO2 factors'!J$7*N35</f><v>0</v></c><c r="O113" s="185"><f>'CO2 factors'!K$7*O35</f><v>0</v></c><c r="P113" s="185"><f>'CO2 factors'!L$7*P35</f><v>0</v></c><c r="Q113" s="185"><f>'CO2 factors'!M$7*Q35</f><v>0</v></c><c r="R113" s="185"><f>'CO2 factors'!N$7*R35</f><v>0</v></c><c r="S113" s="185"><f>'CO2 factors'!O$7*S35</f><v>0</v></c><c r="T113" s="64"><f t="shared" si="33"/><v>0</v></c><c r="U113" s="64"><f t="shared" si="34"/><v>2944.7291412811264</v></c></row><row r="114" spans="1:23" s="21" customFormat="1" ht="15.75" x14ac:dyDescent="0.25"><c r="A114" s="22"/><c r="B114" s="183" t="str"><f>Translation!A79</f><v>Alojamento, restauração e similares</v></c><c r="C114" s="185"><f t="shared" si="44"/><v>850.07357188826802</v></c><c r="D114" s="185"><f t="shared" si="45"/><v>0</v></c><c r="E114" s="185"><f t="shared" si="46"/><v>0</v></c><c r="F114" s="64"><f t="shared" si="29"/><v>850.07357188826802</v></c><c r="G114" s="185"><f>'CO2 factors'!C$7*G36</f><v>0</v></c><c r="H114" s="185"><f>'CO2 factors'!D$7*H36</f><v>0</v></c><c r="I114" s="185"><f>'CO2 factors'!E$7*I36</f><v>0</v></c><c r="J114" s="185"><f>'CO2 factors'!F$7*J36</f><v>0</v></c><c r="K114" s="185"><f>'CO2 factors'!G$7*K36</f><v>0</v></c><c r="L114" s="185"><f>'CO2 factors'!H$7*L36</f><v>0</v></c><c r="M114" s="64"><f t="shared" si="31"/><v>0</v></c><c r="N114" s="185"><f>'CO2 factors'!J$7*N36</f><v>0</v></c><c r="O114" s="185"><f>'CO2 factors'!K$7*O36</f><v>0</v></c><c r="P114" s="185"><f>'CO2 factors'!L$7*P36</f><v>0</v></c><c r="Q114" s="185"><f>'CO2 factors'!M$7*Q36</f><v>0</v></c><c r="R114" s="185"><f>'CO2 factors'!N$7*R36</f><v>0</v></c><c r="S114" s="185"><f>'CO2 factors'!O$7*S36</f><v>0</v></c><c r="T114" s="64"><f t="shared" si="33"/><v>0</v></c><c r="U114" s="64"><f t="shared" si="34"/><v>850.07357188826802</v></c></row><row r="115" spans="1:23" s="21" customFormat="1" ht="15.75" x14ac:dyDescent="0.25"><c r="A115" s="22"/><c r="B115" s="183" t="str"><f>Translation!A80</f><v>Administração pública e segurança social</v></c><c r="C115" s="185"><f t="shared" si="44"/><v>2949.2664743185392</v></c><c r="D115" s="185"><f t="shared" si="45"/><v>0</v></c><c r="E115" s="185"><f t="shared" si="46"/><v>0</v></c><c r="F115" s="64"><f t="shared" si="29"/><v>2949.2664743185392</v></c><c r="G115" s="185"><f>'CO2 factors'!C$7*G37</f><v>0</v></c><c r="H115" s="185"><f>'CO2 factors'!D$7*H37</f><v>0</v></c><c r="I115" s="185"><f>'CO2 factors'!E$7*I37</f><v>0</v></c><c r="J115" s="185"><f>'CO2 factors'!F$7*J37</f><v>0</v></c><c r="K115" s="185"><f>'CO2 factors'!G$7*K37</f><v>0</v></c><c r="L115" s="185"><f>'CO2 factors'!H$7*L37</f><v>0</v></c><c r="M115" s="64"><f t="shared" si="31"/><v>0</v></c><c r="N115" s="185"><f>'CO2 factors'!J$7*N37</f><v>0</v></c><c r="O115" s="185"><f>'CO2 factors'!K$7*O37</f><v>0</v></c><c r="P115" s="185"><f>'CO2 factors'!L$7*P37</f><v>0</v></c><c r="Q115" s="185"><f>'CO2 factors'!M$7*Q37</f><v>0</v></c><c r="R115" s="185"><f>'CO2 factors'!N$7*R37</f><v>0</v></c><c r="S115" s="185"><f>'CO2 factors'!O$7*S37</f><v>0</v></c><c r="T115" s="64"><f t="shared" si="33"/><v>0</v></c><c r="U115" s="64"><f t="shared" si="34"/><v>2949.2664743185392</v></c></row><row r="116" spans="1:23" s="21" customFormat="1" ht="15.75" x14ac:dyDescent="0.25"><c r="A116" s="22"/><c r="B116" s="183" t="str"><f>Translation!A81</f><v>Defesa, justiça, polícia e bombeiros</v></c><c r="C116" s="185"><f t="shared" si="44"/><v>154.31864210940984</v></c><c r="D116" s="185"><f t="shared" si="45"/><v>0</v></c><c r="E116" s="185"><f t="shared" si="46"/><v>0</v></c><c r="F116" s="64"><f t="shared" si="29"/><v>154.31864210940984</v></c><c r="G116" s="185"><f>'CO2 factors'!C$7*G38</f><v>0</v></c><c r="H116" s="185"><f>'CO2 factors'!D$7*H38</f><v>0</v></c><c r="I116" s="185"><f>'CO2 factors'!E$7*I38</f><v>0</v></c><c r="J116" s="185"><f>'CO2 factors'!F$7*J38</f><v>0</v></c><c r="K116" s="185"><f>'CO2 factors'!G$7*K38</f><v>0</v></c><c r="L116" s="185"><f>'CO2 factors'!H$7*L38</f><v>0</v></c><c r="M116" s="64"><f t="shared" si="31"/><v>0</v></c><c r="N116" s="185"><f>'CO2 factors'!J$7*N38</f><v>0</v></c><c r="O116" s="185"><f>'CO2 factors'!K$7*O38</f><v>0</v></c><c r="P116" s="185"><f>'CO2 factors'!L$7*P38</f><v>0</v></c><c r="Q116" s="185"><f>'CO2 factors'!M$7*Q38</f><v>0</v></c><c r="R116" s="185"><f>'CO2 factors'!N$7*R38</f><v>0</v></c><c r="S116" s="185"><f>'CO2 factors'!O$7*S38</f><v>0</v></c><c r="T116" s="64"><f t="shared" si="33"/><v>0</v></c><c r="U116" s="64"><f t="shared" si="34"/><v>154.31864210940984</v></c></row><row r="117" spans="1:23" s="21" customFormat="1" ht="15.75" x14ac:dyDescent="0.25"><c r="A117" s="22"/><c r="B117" s="183" t="str"><f>Translation!A82</f><v>Educação</v></c><c r="C117" s="185"><f t="shared" si="44"/><v>436.50693840517221</v></c><c r="D117" s="185"><f t="shared" si="45"/><v>0</v></c><c r="E117" s="185"><f t="shared" si="46"/><v>0</v></c><c r="F117" s="64"><f t="shared" si="29"/><v>436.50693840517221</v></c><c r="G117" s="185"><f>'CO2 factors'!C$7*G39</f><v>0</v></c><c r="H117" s="185"><f>'CO2 factors'!D$7*H39</f><v>0</v></c><c r="I117" s="185"><f>'CO2 factors'!E$7*I39</f><v>0</v></c><c r="J117" s="185"><f>'CO2 factors'!F$7*J39</f><v>0</v></c><c r="K117" s="185"><f>'CO2 factors'!G$7*K39</f><v>0</v></c><c r="L117" s="185"><f>'CO2 factors'!H$7*L39</f><v>0</v></c><c r="M117" s="64"><f t="shared" si="31"/><v>0</v></c><c r="N117" s="185"><f>'CO2 factors'!J$7*N39</f><v>0</v></c><c r="O117" s="185"><f>'CO2 factors'!K$7*O39</f><v>0</v></c><c r="P117" s="185"><f>'CO2 factors'!L$7*P39</f><v>0</v></c><c r="Q117" s="185"><f>'CO2 factors'!M$7*Q39</f><v>0</v></c><c r="R117" s="185"><f>'CO2 factors'!N$7*R39</f><v>0</v></c><c r="S117" s="185"><f>'CO2 factors'!O$7*S39</f><v>0</v></c><c r="T117" s="64"><f t="shared" si="33"/><v>0</v></c><c r="U117" s="64"><f t="shared" si="34"/><v>436.50693840517221</v></c></row><row r="118" spans="1:23" s="21" customFormat="1" ht="15.75" x14ac:dyDescent="0.25"><c r="A118" s="22"/><c r="B118" s="183" t="str"><f>Translation!A83</f><v>Actividades de saúde humana e apoio social</v></c><c r="C118" s="185"><f t="shared" si="44"/><v>632.48590699008503</v></c><c r="D118" s="185"><f t="shared" si="45"/><v>0</v></c><c r="E118" s="185"><f t="shared" si="46"/><v>0</v></c><c r="F118" s="64"><f t="shared" si="29"/><v>632.48590699008503</v></c><c r="G118" s="185"><f>'CO2 factors'!C$7*G40</f><v>0</v></c><c r="H118" s="185"><f>'CO2 factors'!D$7*H40</f><v>0</v></c><c r="I118" s="185"><f>'CO2 factors'!E$7*I40</f><v>0</v></c><c r="J118" s="185"><f>'CO2 factors'!F$7*J40</f><v>0</v></c><c r="K118" s="185"><f>'CO2 factors'!G$7*K40</f><v>0</v></c><c r="L118" s="185"><f>'CO2 factors'!H$7*L40</f><v>0</v></c><c r="M118" s="64"><f t="shared" si="31"/><v>0</v></c><c r="N118" s="185"><f>'CO2 factors'!J$7*N40</f><v>0</v></c><c r="O118" s="185"><f>'CO2 factors'!K$7*O40</f><v>0</v></c><c r="P118" s="185"><f>'CO2 factors'!L$7*P40</f><v>0</v></c><c r="Q118" s="185"><f>'CO2 factors'!M$7*Q40</f><v>0</v></c><c r="R118" s="185"><f>'CO2 factors'!N$7*R40</f><v>0</v></c><c r="S118" s="185"><f>'CO2 factors'!O$7*S40</f><v>0</v></c><c r="T118" s="64"><f t="shared" si="33"/><v>0</v></c><c r="U118" s="64"><f t="shared" si="34"/><v>632.48590699008503</v></c></row><row r="119" spans="1:23" s="21" customFormat="1" ht="15.75" x14ac:dyDescent="0.25"><c r="A119" s="22"/><c r="B119" s="183" t="str"><f>Translation!A84</f><v>Outros serviços</v></c><c r="C119" s="185"><f t="shared" si="44"/><v>1886.7766699070276</v></c><c r="D119" s="185"><f t="shared" si="45"/><v>0</v></c><c r="E119" s="185"><f t="shared" si="46"/><v>0</v></c><c r="F119" s="64"><f t="shared" si="29"/><v>1886.7766699070276</v></c><c r="G119" s="185"><f>'CO2 factors'!C$7*G41</f><v>0</v></c><c r="H119" s="185"><f>'CO2 factors'!D$7*H41</f><v>0</v></c><c r="I119" s="185"><f>'CO2 factors'!E$7*I41</f><v>0</v></c><c r="J119" s="185"><f>'CO2 factors'!F$7*J41</f><v>0</v></c><c r="K119" s="185"><f>'CO2 factors'!G$7*K41</f><v>0</v></c><c r="L119" s="185"><f>'CO2 factors'!H$7*L41</f><v>0</v></c><c r="M119" s="64"><f t="shared" si="31"/><v>0</v></c><c r="N119" s="185"><f>'CO2 factors'!J$7*N41</f><v>0</v></c><c r="O119" s="185"><f>'CO2 factors'!K$7*O41</f><v>0</v></c><c r="P119" s="185"><f>'CO2 factors'!L$7*P41</f><v>0</v></c><c r="Q119" s="185"><f>'CO2 factors'!M$7*Q41</f><v>0</v></c><c r="R119" s="185"><f>'CO2 factors'!N$7*R41</f><v>0</v></c><c r="S119" s="185"><f>'CO2 factors'!O$7*S41</f><v>0</v></c><c r="T119" s="64"><f t="shared" si="33"/><v>0</v></c><c r="U119" s="64"><f t="shared" si="34"/><v>1886.7766699070276</v></c></row><row r="120" spans="1:23" s="21" customFormat="1" ht="15.75" x14ac:dyDescent="0.25"><c r="A120" s="22"/><c r="B120" s="183" t="str"><f>Translation!A85</f><v>Iluminação pública</v></c><c r="C120" s="185"><f t="shared" si="44"/><v>2036.9595752261248</v></c><c r="D120" s="185"><f t="shared" si="45"/><v>0</v></c><c r="E120" s="185"><f t="shared" si="46"/><v>0</v></c><c r="F120" s="64"><f t="shared" si="29"/><v>2036.9595752261248</v></c><c r="G120" s="185"><f>'CO2 factors'!C$7*G42</f><v>0</v></c><c r="H120" s="185"><f>'CO2 factors'!D$7*H42</f><v>0</v></c><c r="I120" s="185"><f>'CO2 factors'!E$7*I42</f><v>0</v></c><c r="J120" s="185"><f>'CO2 factors'!F$7*J42</f><v>0</v></c><c r="K120" s="185"><f>'CO2 factors'!G$7*K42</f><v>0</v></c><c r="L120" s="185"><f>'CO2 factors'!H$7*L42</f><v>0</v></c><c r="M120" s="64"><f t="shared" si="31"/><v>0</v></c><c r="N120" s="185"><f>'CO2 factors'!J$7*N42</f><v>0</v></c><c r="O120" s="185"><f>'CO2 factors'!K$7*O42</f><v>0</v></c><c r="P120" s="185"><f>'CO2 factors'!L$7*P42</f><v>0</v></c><c r="Q120" s="185"><f>'CO2 factors'!M$7*Q42</f><v>0</v></c><c r="R120" s="185"><f>'CO2 factors'!N$7*R42</f><v>0</v></c><c r="S120" s="185"><f>'CO2 factors'!O$7*S42</f><v>0</v></c><c r="T120" s="64"><f t="shared" si="33"/><v>0</v></c><c r="U120" s="64"><f t="shared" si="34"/><v>2036.9595752261248</v></c></row><row r="121" spans="1:23" s="21" customFormat="1" ht="15.75" x14ac:dyDescent="0.25"><c r="A121" s="22"/><c r="B121" s="61" t="str"><f>Translation!A86</f><v>TRANSPORTES</v></c><c r="C121" s="64"><f>SUM(C122:C125)</f><v>51.777733683150842</v></c><c r="D121" s="64"><f>SUM(D122:D125)</f><v>0</v></c><c r="E121" s="64"><f>SUM(E122:E125)</f><v>0</v></c><c r="F121" s="64"><f t="shared" si="29"/><v>51.777733683150842</v></c><c r="G121" s="64"><f t="shared" ref="G121:L121" si="47">SUM(G122:G125)</f><v>0</v></c><c r="H121" s="64"><f t="shared" si="47"/><v>15250.239000000001</v></c><c r="I121" s="64"><f t="shared" si="47"/><v>5167.4970000000003</v></c><c r="J121" s="64"><f t="shared" si="47"/><v>0</v></c><c r="K121" s="64"><f t="shared" si="47"/><v>0</v></c><c r="L121" s="64"><f t="shared" si="47"/><v>0</v></c><c r="M121" s="64"><f t="shared" si="31"/><v>20417.736000000001</v></c><c r="N121" s="64"><f t="shared" ref="N121:S121" si="48">SUM(N122:N125)</f><v>0</v></c><c r="O121" s="64"><f t="shared" si="48"/><v>0</v></c><c r="P121" s="64"><f t="shared" si="48"/><v>0</v></c><c r="Q121" s="64"><f t="shared" si="48"/><v>0</v></c><c r="R121" s="64"><f t="shared" si="48"/><v>0</v></c><c r="S121" s="64"><f t="shared" si="48"/><v>0</v></c><c r="T121" s="64"><f t="shared" si="33"/><v>0</v></c><c r="U121" s="64"><f t="shared" si="34"/><v>20469.51373368315</v></c></row><row r="122" spans="1:23" s="21" customFormat="1" ht="30" x14ac:dyDescent="0.25"><c r="A122" s="22"/><c r="B122" s="183" t="str"><f>Translation!A87</f><v>Transporte de passageiros por estrada (transportes públicos, táxis, turismo, transporte escolar, etc.)</v></c><c r="C122" s="185"><f>IF(AND(C$48&gt;0,($S$133+$V$143)&gt;0), ($S$133+$V$143)/C$48,0)*C44</f><v>10.265363719737486</v></c><c r="D122" s="185"><f>IF(AND(D$48&gt;0,$S$134&gt;0), ($S$134)/D$48,0)*D44</f><v>0</v></c><c r="E122" s="185"><f>IF(AND(E$48&gt;0,$S$135&gt;0), ($S$135)/E$48,0)*E44</f><v>0</v></c><c r="F122" s="64"><f t="shared" si="29"/><v>10.265363719737486</v></c><c r="G122" s="185"><f>'CO2 factors'!C$7*G44</f><v>0</v></c><c r="H122" s="185"><f>'CO2 factors'!D$7*H44</f><v>15250.239000000001</v></c><c r="I122" s="185"><f>'CO2 factors'!E$7*I44</f><v>5167.4970000000003</v></c><c r="J122" s="185"><f>'CO2 factors'!F$7*J44</f><v>0</v></c><c r="K122" s="185"><f>'CO2 factors'!G$7*K44</f><v>0</v></c><c r="L122" s="185"><f>'CO2 factors'!H$7*L44</f><v>0</v></c><c r="M122" s="64"><f t="shared" si="31"/><v>20417.736000000001</v></c><c r="N122" s="185"><f>'CO2 factors'!J$7*N44</f><v>0</v></c><c r="O122" s="185"><f>'CO2 factors'!K$7*O44</f><v>0</v></c><c r="P122" s="185"><f>'CO2 factors'!L$7*P44</f><v>0</v></c><c r="Q122" s="185"><f>'CO2 factors'!M$7*Q44</f><v>0</v></c><c r="R122" s="185"><f>'CO2 factors'!N$7*R44</f><v>0</v></c><c r="S122" s="185"><f>'CO2 factors'!O$7*S44</f><v>0</v></c><c r="T122" s="64"><f t="shared" si="33"/><v>0</v></c><c r="U122" s="64"><f t="shared" si="34"/><v>20428.001363719737</v></c></row><row r="123" spans="1:23" s="21" customFormat="1" ht="30" x14ac:dyDescent="0.25"><c r="A123" s="22"/><c r="B123" s="183" t="str"><f>Translation!A88</f><v>Transporte de mercadorias por estrada e serviços de mudanças</v></c><c r="C123" s="185"><f>IF(AND(C$48&gt;0,($S$133+$V$143)&gt;0), ($S$133+$V$143)/C$48,0)*C45</f><v>16.169533106930356</v></c><c r="D123" s="185"><f>IF(AND(D$48&gt;0,$S$134&gt;0), ($S$134)/D$48,0)*D45</f><v>0</v></c><c r="E123" s="185"><f>IF(AND(E$48&gt;0,$S$135&gt;0), ($S$135)/E$48,0)*E45</f><v>0</v></c><c r="F123" s="64"><f t="shared" si="29"/><v>16.169533106930356</v></c><c r="G123" s="185"><f>'CO2 factors'!C$7*G45</f><v>0</v></c><c r="H123" s="185"><f>'CO2 factors'!D$7*H45</f><v>0</v></c><c r="I123" s="185"><f>'CO2 factors'!E$7*I45</f><v>0</v></c><c r="J123" s="185"><f>'CO2 factors'!F$7*J45</f><v>0</v></c><c r="K123" s="185"><f>'CO2 factors'!G$7*K45</f><v>0</v></c><c r="L123" s="185"><f>'CO2 factors'!H$7*L45</f><v>0</v></c><c r="M123" s="64"><f t="shared" si="31"/><v>0</v></c><c r="N123" s="185"><f>'CO2 factors'!J$7*N45</f><v>0</v></c><c r="O123" s="185"><f>'CO2 factors'!K$7*O45</f><v>0</v></c><c r="P123" s="185"><f>'CO2 factors'!L$7*P45</f><v>0</v></c><c r="Q123" s="185"><f>'CO2 factors'!M$7*Q45</f><v>0</v></c><c r="R123" s="185"><f>'CO2 factors'!N$7*R45</f><v>0</v></c><c r="S123" s="185"><f>'CO2 factors'!O$7*S45</f><v>0</v></c><c r="T123" s="64"><f t="shared" si="33"/><v>0</v></c><c r="U123" s="64"><f t="shared" si="34"/><v>16.169533106930356</v></c></row><row r="124" spans="1:23" s="21" customFormat="1" ht="15.75" x14ac:dyDescent="0.25"><c r="A124" s="22"/><c r="B124" s="183" t="str"><f>Translation!A89</f><v>Outras frotas de serviços públicos e privados</v></c><c r="C124" s="185"><f>IF(AND(C$48&gt;0,($S$133+$V$143)&gt;0), ($S$133+$V$143)/C$48,0)*C46</f><v>3.6073206757073386</v></c><c r="D124" s="185"><f>IF(AND(D$48&gt;0,$S$134&gt;0), ($S$134)/D$48,0)*D46</f><v>0</v></c><c r="E124" s="185"><f>IF(AND(E$48&gt;0,$S$135&gt;0), ($S$135)/E$48,0)*E46</f><v>0</v></c><c r="F124" s="64"><f t="shared" si="29"/><v>3.6073206757073386</v></c><c r="G124" s="185"><f>'CO2 factors'!C$7*G46</f><v>0</v></c><c r="H124" s="185"><f>'CO2 factors'!D$7*H46</f><v>0</v></c><c r="I124" s="185"><f>'CO2 factors'!E$7*I46</f><v>0</v></c><c r="J124" s="185"><f>'CO2 factors'!F$7*J46</f><v>0</v></c><c r="K124" s="185"><f>'CO2 factors'!G$7*K46</f><v>0</v></c><c r="L124" s="185"><f>'CO2 factors'!H$7*L46</f><v>0</v></c><c r="M124" s="64"><f t="shared" si="31"/><v>0</v></c><c r="N124" s="185"><f>'CO2 factors'!J$7*N46</f><v>0</v></c><c r="O124" s="185"><f>'CO2 factors'!K$7*O46</f><v>0</v></c><c r="P124" s="185"><f>'CO2 factors'!L$7*P46</f><v>0</v></c><c r="Q124" s="185"><f>'CO2 factors'!M$7*Q46</f><v>0</v></c><c r="R124" s="185"><f>'CO2 factors'!N$7*R46</f><v>0</v></c><c r="S124" s="185"><f>'CO2 factors'!O$7*S46</f><v>0</v></c><c r="T124" s="64"><f t="shared" si="33"/><v>0</v></c><c r="U124" s="64"><f t="shared" si="34"/><v>3.6073206757073386</v></c></row><row r="125" spans="1:23" s="21" customFormat="1" ht="15.75" x14ac:dyDescent="0.25"><c r="A125" s="22"/><c r="B125" s="182" t="str"><f>Translation!A90</f><v>Transporte particular</v></c><c r="C125" s="185"><f>IF(AND(C$48&gt;0,($S$133+$V$143)&gt;0), ($S$133+$V$143)/C$48,0)*C47</f><v>21.735516180775665</v></c><c r="D125" s="185"><f>IF(AND(D$48&gt;0,$S$134&gt;0), ($S$134)/D$48,0)*D47</f><v>0</v></c><c r="E125" s="185"><f>IF(AND(E$48&gt;0,$S$135&gt;0), ($S$135)/E$48,0)*E47</f><v>0</v></c><c r="F125" s="64"><f t="shared" si="29"/><v>21.735516180775665</v></c><c r="G125" s="185"><f>'CO2 factors'!C$7*G47</f><v>0</v></c><c r="H125" s="185"><f>'CO2 factors'!D$7*H47</f><v>0</v></c><c r="I125" s="185"><f>'CO2 factors'!E$7*I47</f><v>0</v></c><c r="J125" s="185"><f>'CO2 factors'!F$7*J47</f><v>0</v></c><c r="K125" s="185"><f>'CO2 factors'!G$7*K47</f><v>0</v></c><c r="L125" s="185"><f>'CO2 factors'!H$7*L47</f><v>0</v></c><c r="M125" s="64"><f t="shared" si="31"/><v>0</v></c><c r="N125" s="185"><f>'CO2 factors'!J$7*N47</f><v>0</v></c><c r="O125" s="185"><f>'CO2 factors'!K$7*O47</f><v>0</v></c><c r="P125" s="185"><f>'CO2 factors'!L$7*P47</f><v>0</v></c><c r="Q125" s="185"><f>'CO2 factors'!M$7*Q47</f><v>0</v></c><c r="R125" s="185"><f>'CO2 factors'!N$7*R47</f><v>0</v></c><c r="S125" s="185"><f>'CO2 factors'!O$7*S47</f><v>0</v></c><c r="T125" s="64"><f t="shared" si="33"/><v>0</v></c><c r="U125" s="64"><f t="shared" si="34"/><v>21.735516180775665</v></c></row><row r="126" spans="1:23" s="21" customFormat="1" ht="15.75" x14ac:dyDescent="0.25"><c r="A126" s="22"/><c r="B126" s="73" t="str"><f>Translation!A118</f><v>TOTAL PARA MERCADO INTERNO</v></c><c r="C126" s="65"><f>C95+C105+C108+C112+C121</f><v>27364.416000000005</v></c><c r="D126" s="65"><f>D95+D105+D108+D112+D121</f><v>0</v></c><c r="E126" s="65"><f>E95+E105+E108+E112+E121</f><v>0</v></c><c r="F126" s="64"><f t="shared" si="29"/><v>27364.416000000005</v></c><c r="G126" s="65"><f t="shared" ref="G126:L126" si="49">G95+G105+G108+G112+G121</f><v>1734.8220000000001</v></c><c r="H126" s="65"><f t="shared" si="49"/><v>22800.465000000004</v></c><c r="I126" s="65"><f t="shared" si="49"/><v>5167.4970000000003</v></c><c r="J126" s="65"><f t="shared" si="49"/><v>4216.5599999999995</v></c><c r="K126" s="65"><f t="shared" si="49"/><v>0</v></c><c r="L126" s="65"><f t="shared" si="49"/><v>0</v></c><c r="M126" s="64"><f t="shared" si="31"/><v>33919.344000000005</v></c><c r="N126" s="65"><f t="shared" ref="N126:S126" si="50">N95+N105+N108+N112+N121</f><v>0</v></c><c r="O126" s="65"><f t="shared" si="50"/><v>0</v></c><c r="P126" s="65"><f t="shared" si="50"/><v>0</v></c><c r="Q126" s="65"><f t="shared" si="50"/><v>0</v></c><c r="R126" s="65"><f t="shared" si="50"/><v>0</v></c><c r="S126" s="65"><f t="shared" si="50"/><v>0</v></c><c r="T126" s="64"><f t="shared" si="33"/><v>0</v></c><c r="U126" s="64"><f t="shared" si="34"/><v>61283.760000000009</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06" t="str"><f>Translation!A121</f><v>SECTOR DE PRODUÇÃO</v></c><c r="C130" s="280" t="str"><f>Translation!A143</f><v>FONTE DE ENERGIA PRIMÁRIA</v></c><c r="D130" s="281"/><c r="E130" s="281"/><c r="F130" s="281"/><c r="G130" s="281"/><c r="H130" s="281"/><c r="I130" s="281"/><c r="J130" s="281"/><c r="K130" s="281"/><c r="L130" s="281"/><c r="M130" s="281"/><c r="N130" s="281"/><c r="O130" s="281"/><c r="P130" s="281"/><c r="Q130" s="281"/><c r="R130" s="281"/><c r="S130" s="282"/><c r="T130" s="60"/><c r="U130" s="283" t="str"><f>Translation!A123</f><v>Produto energético</v></c><c r="V130" s="284"/><c r="W130" s="289" t="str"><f>Translation!A150</f><v>FACTORES DE EMISSÃO DE CO2</v></c><c r="X130" s="57"/><c r="Y130" s="57"/><c r="Z130" s="57"/><c r="AA130" s="57"/><c r="AB130" s="57"/><c r="AC130" s="57"/><c r="AD130" s="57"/><c r="AE130" s="57"/></row><row r="131" spans="2:31" s="51" customFormat="1" ht="15" customHeight="1" x14ac:dyDescent="0.25"><c r="B131" s="307"/><c r="C131" s="280" t="str"><f>Translation!A99</f><v>Combustíveis fósseis</v></c><c r="D131" s="281"/><c r="E131" s="281"/><c r="F131" s="281"/><c r="G131" s="281"/><c r="H131" s="281"/><c r="I131" s="282"/><c r="J131" s="280" t="str"><f>Translation!A108</f><v>Fontes energéticas renováveis</v></c><c r="K131" s="281"/><c r="L131" s="281"/><c r="M131" s="281"/><c r="N131" s="281"/><c r="O131" s="281"/><c r="P131" s="281"/><c r="Q131" s="281"/><c r="R131" s="282"/><c r="S131" s="292" t="str"><f>Translation!A119</f><v>TOTAL</v></c><c r="T131" s="60"/><c r="U131" s="285"/><c r="V131" s="286"/><c r="W131" s="290"/><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292"/><c r="T132" s="60"/><c r="U132" s="287"/><c r="V132" s="288"/><c r="W132" s="291"/><c r="X132" s="57"/><c r="Y132" s="57"/><c r="Z132" s="57"/><c r="AA132" s="57"/><c r="AB132" s="57"/><c r="AC132" s="57"/><c r="AD132" s="57"/><c r="AE132" s="57"/></row><row r="133" spans="2:31" s="51" customFormat="1" ht="15.75" x14ac:dyDescent="0.25"><c r="B133" s="184" t="str"><f>Translation!A124</f><v>Electricidade</v></c><c r="C133" s="189"><f>'CO2 factors'!C$7*C69</f><v>26820.270000000004</v></c><c r="D133" s="189"><f>'CO2 factors'!D$7*D69</f><v>544.14600000000007</v></c><c r="E133" s="189"><f>'CO2 factors'!E$7*E69</f><v>0</v></c><c r="F133" s="189"><f>'CO2 factors'!F$7*F69</f><v>0</v></c><c r="G133" s="189"><f>'CO2 factors'!G$7*G69</f><v>0</v></c><c r="H133" s="189"><f>'CO2 factors'!H$7*H69</f><v>0</v></c><c r="I133" s="59"><f>SUM(C133:H133)</f><v>27364.416000000005</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27364.416000000005</v></c><c r="T133" s="58"/><c r="U133" s="294" t="str"><f>Translation!A124</f><v>Electricidade</v></c><c r="V133" s="295"/><c r="W133" s="190"><f>IF(S59&gt;0,S133/S59,0)</f><v>0.61287858630652436</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3" t="str"><f>Translation!A125</f><v>Calor</v></c><c r="V134" s="29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3" t="str"><f>Translation!A126</f><v>Frio</v></c><c r="V135" s="293"/><c r="W135" s="190"><f>IF(S61&gt;0,S135/S61,0)</f><v>0</v></c><c r="X135" s="57"/><c r="Y135" s="57"/><c r="Z135" s="57"/><c r="AA135" s="57"/><c r="AB135" s="57"/><c r="AC135" s="57"/><c r="AD135" s="57"/><c r="AE135" s="57"/></row><row r="136" spans="2:31" s="51" customFormat="1" ht="15.75" x14ac:dyDescent="0.25"><c r="B136" s="70" t="str"><f>Translation!A119</f><v>TOTAL</v></c><c r="C136" s="53"><f t="shared" ref="C136:S136" si="51">SUM(C133:C135)</f><v>26820.270000000004</v></c><c r="D136" s="53"><f t="shared" si="51"/><v>544.14600000000007</v></c><c r="E136" s="53"><f t="shared" si="51"/><v>0</v></c><c r="F136" s="53"><f t="shared" si="51"/><v>0</v></c><c r="G136" s="53"><f t="shared" si="51"/><v>0</v></c><c r="H136" s="53"><f t="shared" si="51"/><v>0</v></c><c r="I136" s="53"><f t="shared" si="51"/><v>27364.416000000005</v></c><c r="J136" s="53"><f t="shared" si="51"/><v>0</v></c><c r="K136" s="53"><f t="shared" si="51"/><v>0</v></c><c r="L136" s="53"><f t="shared" si="51"/><v>0</v></c><c r="M136" s="53"><f t="shared" si="51"/><v>0</v></c><c r="N136" s="53"><f t="shared" si="51"/><v>0</v></c><c r="O136" s="53"><f t="shared" si="51"/><v>0</v></c><c r="P136" s="53"><f t="shared" si="51"/><v>0</v></c><c r="Q136" s="53"><f t="shared" si="51"/><v>0</v></c><c r="R136" s="53"><f t="shared" si="51"/><v>0</v></c><c r="S136" s="53"><f t="shared" si="51"/><v>27364.416000000005</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318" t="str"><f>Translation!A123</f><v>Produto energético</v></c><c r="C140" s="277" t="str"><f>Translation!A143</f><v>FONTE DE ENERGIA PRIMÁRIA</v></c><c r="D140" s="278"/><c r="E140" s="278"/><c r="F140" s="278"/><c r="G140" s="278"/><c r="H140" s="278"/><c r="I140" s="278"/><c r="J140" s="278"/><c r="K140" s="278"/><c r="L140" s="278"/><c r="M140" s="278"/><c r="N140" s="278"/><c r="O140" s="278"/><c r="P140" s="278"/><c r="Q140" s="278"/><c r="R140" s="278"/><c r="S140" s="278"/><c r="T140" s="278"/><c r="U140" s="278"/><c r="V140" s="278"/><c r="W140" s="278"/><c r="X140" s="278"/><c r="Y140" s="279"/><c r="AA140" s="289" t="str"><f>Translation!A151</f><v>Emissões de CO2 de instalações CELE incluídas no cálculo para a energia final</v></c><c r="AB140" s="289" t="str"><f>Translation!A152</f><v>Emissões de CO2 de instalações CELE incluídas no cálculo para a produção de energia secundária</v></c></row><row r="141" spans="2:31" s="51" customFormat="1" ht="15" customHeight="1" x14ac:dyDescent="0.25"><c r="B141" s="319"/><c r="C141" s="277" t="str"><f>Translation!A99</f><v>Combustíveis fósseis</v></c><c r="D141" s="278"/><c r="E141" s="278"/><c r="F141" s="278"/><c r="G141" s="278"/><c r="H141" s="278"/><c r="I141" s="279"/><c r="J141" s="277" t="str"><f>Translation!A108</f><v>Fontes energéticas renováveis</v></c><c r="K141" s="278"/><c r="L141" s="278"/><c r="M141" s="278"/><c r="N141" s="278"/><c r="O141" s="278"/><c r="P141" s="278"/><c r="Q141" s="278"/><c r="R141" s="279"/><c r="S141" s="296" t="str"><f>Translation!A124</f><v>Electricidade</v></c><c r="T141" s="297"/><c r="U141" s="297"/><c r="V141" s="298"/><c r="W141" s="108" t="str"><f>Translation!A125</f><v>Calor</v></c><c r="X141" s="108" t="str"><f>Translation!A126</f><v>Frio</v></c><c r="Y141" s="259" t="str"><f>Translation!A119</f><v>TOTAL</v></c><c r="AA141" s="290"/><c r="AB141" s="290"/></row><row r="142" spans="2:31" s="51" customFormat="1" ht="90.75" customHeight="1" x14ac:dyDescent="0.25"><c r="B142" s="320"/><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9"/><c r="AA142" s="291"/><c r="AB142" s="291"/></row><row r="143" spans="2:31" s="51" customFormat="1" ht="15.75" x14ac:dyDescent="0.25"><c r="B143" s="107" t="str"><f>Translation!A119</f><v>TOTAL</v></c><c r="C143" s="186"><f>'CO2 factors'!C$7*C79</f><v>28555.092000000004</v></c><c r="D143" s="186"><f>'CO2 factors'!D$7*D79</f><v>23344.611000000001</v></c><c r="E143" s="186"><f>'CO2 factors'!E$7*E79</f><v>5167.4970000000003</v></c><c r="F143" s="186"><f>'CO2 factors'!F$7*F79</f><v>4216.5599999999995</v></c><c r="G143" s="186"><f>'CO2 factors'!G$7*G79</f><v>0</v></c><c r="H143" s="186"><f>'CO2 factors'!H$7*H79</f><v>0</v></c><c r="I143" s="53"><f>SUM(C143:H143)</f><v>61283.760000000009</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61283.760000000009</v></c><c r="AA143" s="154"/><c r="AB143" s="154"/></row><row r="144" spans="2:31" s="51" customFormat="1" ht="15" x14ac:dyDescent="0.25"><c r="B144" s="52"/></row><row r="145" spans="1:21" ht="15.75" customHeight="1" x14ac:dyDescent="0.25"><c r="A145" s="145"/><c r="B145" s="146"/></row><row r="146" spans="1:21" ht="18.75" customHeight="1" x14ac:dyDescent="0.35"><c r="A146" s="144"/><c r="B146" s="269" t="str"><f>Translation!A154</f><v xml:space="preserve">Continue na próxima página dedicada ao Inventário de Emissões em 2020 </v></c><c r="C146" s="270"/><c r="D146" s="270"/><c r="E146" s="270"/><c r="F146" s="270"/><c r="G146" s="270"/><c r="H146" s="270"/><c r="I146" s="270"/><c r="J146" s="270"/><c r="K146" s="270"/><c r="L146" s="270"/><c r="M146" s="270"/><c r="N146" s="270"/><c r="O146" s="270"/><c r="P146" s="270"/><c r="Q146" s="270"/><c r="R146" s="270"/><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71"/><c r="D148" s="271"/><c r="E148" s="271"/><c r="F148" s="271"/><c r="G148" s="271"/><c r="H148" s="271"/><c r="I148" s="271"/><c r="J148" s="271"/><c r="K148" s="271"/><c r="L148" s="271"/><c r="M148" s="271"/><c r="N148" s="271"/><c r="O148" s="271"/><c r="P148" s="271"/><c r="Q148" s="271"/><c r="R148" s="271"/><c r="S148" s="271"/><c r="T148" s="271"/><c r="U148" s="271"/></row><row r="149" spans="1:21" ht="12.75" customHeight="1" x14ac:dyDescent="0.2"><c r="B149" s="271"/><c r="C149" s="271"/><c r="D149" s="271"/><c r="E149" s="271"/><c r="F149" s="271"/><c r="G149" s="271"/><c r="H149" s="271"/><c r="I149" s="271"/><c r="J149" s="271"/><c r="K149" s="271"/><c r="L149" s="271"/><c r="M149" s="271"/><c r="N149" s="271"/><c r="O149" s="271"/><c r="P149" s="271"/><c r="Q149" s="271"/><c r="R149" s="271"/><c r="S149" s="271"/><c r="T149" s="271"/><c r="U149" s="271"/></row><row r="150" spans="1:21" ht="12.75" customHeight="1" x14ac:dyDescent="0.2"><c r="B150" s="271"/><c r="C150" s="271"/><c r="D150" s="271"/><c r="E150" s="271"/><c r="F150" s="271"/><c r="G150" s="271"/><c r="H150" s="271"/><c r="I150" s="271"/><c r="J150" s="271"/><c r="K150" s="271"/><c r="L150" s="271"/><c r="M150" s="271"/><c r="N150" s="271"/><c r="O150" s="271"/><c r="P150" s="271"/><c r="Q150" s="271"/><c r="R150" s="271"/><c r="S150" s="271"/><c r="T150" s="271"/><c r="U150" s="271"/></row></sheetData><mergeCells count="70"><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7:V77"/><mergeCell ref="Y77:Y78"/><mergeCell ref="C76:Y76"/><mergeCell ref="T66:T68"/><mergeCell ref="S84:S85"/><mergeCell ref="C67:I67"/><mergeCell ref="C77:I77"/><mergeCell ref="C84:I84"/><mergeCell ref="C66:S66"/><mergeCell ref="J67:R67"/><mergeCell ref="J77:R77"/><mergeCell ref="C83:S83"/><mergeCell ref="J84:R84"/><mergeCell ref="S67:S68"/><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4"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Pico</v></c><c r="K2" s="81"/><c r="L2" s="81"/><c r="M2" s="81"/><c r="N2" s="81"/><c r="O2" s="81"/><c r="P2" s="81"/><c r="Q2" s="81"/><c r="R2" s="150"/><c r="S2" s="152"/><c r="T2" s="78" t="str"><f>Translation!$A$51</f><v>Ano do inventário</v></c><c r="U2" s="151"><v>2020</v></c></row><row r="3" spans="1:30" ht="28.5" customHeight="1" x14ac:dyDescent="0.2"><c r="A3" s="116"/><c r="D3" s="116"/><c r="E3" s="116"/><c r="F3" s="116"/><c r="G3" s="116"/><c r="H3" s="116"/><c r="I3" s="116"/><c r="J3" s="118"/><c r="K3" s="118"/><c r="T3" s="27"/></row><row r="4" spans="1:30" ht="46.5" customHeight="1" x14ac:dyDescent="0.2"><c r="A4" s="264" t="str"><f>Translation!A155</f><v>INVENTÁRIO DE EMISSÕES DO PLANO EM 2020 (com implementação das acções para a energia sustentável)</v></c><c r="B4" s="264"/><c r="C4" s="264"/><c r="D4" s="264"/><c r="E4" s="264"/><c r="F4" s="264"/><c r="G4" s="264"/><c r="H4" s="264"/><c r="I4" s="264"/><c r="J4" s="264"/><c r="K4" s="264"/><c r="L4" s="264"/><c r="M4" s="264"/><c r="N4" s="264"/><c r="O4" s="264"/><c r="P4" s="264"/><c r="Q4" s="264"/><c r="R4" s="264"/><c r="S4" s="264"/><c r="T4" s="264"/><c r="U4" s="264"/><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8" t="str"><f>Translation!$A$53</f><v>Campos obrigatórios</v></c><c r="T6" s="268"/><c r="U6" s="268"/></row><row r="7" spans="1:30" s="126" customFormat="1" ht="36" x14ac:dyDescent="0.55000000000000004"><c r="A7" s="124" t="s"><v>0</v></c><c r="B7" s="125" t="str"><f>Translation!A50</f><v>DADOS GERAIS</v></c><c r="L7" s="127"/></row><row r="8" spans="1:30" ht="21" x14ac:dyDescent="0.35"><c r="A8" s="128"/><c r="B8" s="130" t="str"><f>Translation!A52</f><v>Número de habitantes</v></c><c r="C8" s="315"><v>14100</v></c><c r="D8" s="316"/><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317" t="str"><f>'Start here'!F7</f><v>Factores de emissão IPCC</v></c><c r="D10" s="317"/><c r="E10" s="317"/><c r="F10" s="317"/><c r="G10" s="317"/><c r="H10" s="317"/><c r="I10" s="317"/><c r="J10" s="31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75" t="str"><f>Translation!A56</f><v>SECTOR DE PROCURA</v></c><c r="C14" s="277" t="str"><f>Translation!A94</f><v>ENERGIA PARA CONSUMO FINAL</v></c><c r="D14" s="278"/><c r="E14" s="278"/><c r="F14" s="278"/><c r="G14" s="278"/><c r="H14" s="278"/><c r="I14" s="278"/><c r="J14" s="278"/><c r="K14" s="278"/><c r="L14" s="278"/><c r="M14" s="278"/><c r="N14" s="278"/><c r="O14" s="278"/><c r="P14" s="278"/><c r="Q14" s="278"/><c r="R14" s="278"/><c r="S14" s="278"/><c r="T14" s="278"/><c r="U14" s="279"/></row><row r="15" spans="1:30" s="51" customFormat="1" ht="18" customHeight="1" x14ac:dyDescent="0.25"><c r="B15" s="276"/><c r="C15" s="277" t="str"><f>Translation!A95</f><v>Serviços energéticos centralizados</v></c><c r="D15" s="278"/><c r="E15" s="278"/><c r="F15" s="279"/><c r="G15" s="277" t="str"><f>Translation!A99</f><v>Combustíveis fósseis</v></c><c r="H15" s="278"/><c r="I15" s="278"/><c r="J15" s="278"/><c r="K15" s="278"/><c r="L15" s="278"/><c r="M15" s="279"/><c r="N15" s="277" t="str"><f>Translation!A106</f><v>Fontes energéticas renováveis (excluindo electricidade e calor para venda a redes públicas)</v></c><c r="O15" s="278"/><c r="P15" s="278"/><c r="Q15" s="278"/><c r="R15" s="278"/><c r="S15" s="278"/><c r="T15" s="279"/><c r="U15" s="275"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76"/></row><row r="17" spans="1:21" s="21" customFormat="1" ht="15.75" x14ac:dyDescent="0.25"><c r="A17" s="22"/><c r="B17" s="66" t="str"><f>Translation!A60</f><v>RESIDENCIAL</v></c><c r="C17" s="236"><f>SUM(C18:C26)</f><v>15401.835209416398</v></c><c r="D17" s="236"><f>SUM(D18:D26)</f><v>0</v></c><c r="E17" s="236"><f>SUM(E18:E26)</f><v>0</v></c><c r="F17" s="64"><f t="shared" ref="F17:F51" si="0">SUM(C17:E17)</f><v>15401.835209416398</v></c><c r="G17" s="236"><f t="shared" ref="G17:L17" si="1">SUM(G18:G26)</f><v>0</v></c><c r="H17" s="236"><f t="shared" si="1"/><v>0</v></c><c r="I17" s="236"><f t="shared" si="1"/><v>0</v></c><c r="J17" s="236"><f t="shared" si="1"/><v>14450.548943202994</v></c><c r="K17" s="236"><f t="shared" si="1"/><v>0</v></c><c r="L17" s="236"><f t="shared" si="1"/><v>0</v></c><c r="M17" s="64"><f t="shared" ref="M17:M51" si="2">SUM(G17:L17)</f><v>14450.548943202994</v></c><c r="N17" s="236"><f t="shared" ref="N17:S17" si="3">SUM(N18:N26)</f><v>0</v></c><c r="O17" s="236"><f t="shared" si="3"/><v>0</v></c><c r="P17" s="236"><f t="shared" si="3"/><v>2613.3434436507432</v></c><c r="Q17" s="236"><f t="shared" si="3"/><v>0</v></c><c r="R17" s="236"><f t="shared" si="3"/><v>0</v></c><c r="S17" s="236"><f t="shared" si="3"/><v>0</v></c><c r="T17" s="64"><f t="shared" ref="T17:T51" si="4">SUM(N17:S17)</f><v>2613.3434436507432</v></c><c r="U17" s="64"><f t="shared" ref="U17:U51" si="5">F17+M17+T17</f><v>32465.727596270139</v></c></row><row r="18" spans="1:21" s="21" customFormat="1" ht="15.75" x14ac:dyDescent="0.25"><c r="A18" s="22"/><c r="B18" s="182" t="str"><f>Translation!A61</f><v>Água quente</v></c><c r="C18" s="154"><v>16128.522792735919</v></c><c r="D18" s="154"/><c r="E18" s="154"/><c r="F18" s="64"><f t="shared" si="0"/><v>16128.522792735919</v></c><c r="G18" s="154"/><c r="H18" s="154"/><c r="I18" s="154"/><c r="J18" s="154"><v>14450.548943202994</v></c><c r="K18" s="154"><v>0</v></c><c r="L18" s="154"><v>0</v></c><c r="M18" s="64"><f t="shared" si="2"/><v>14450.548943202994</v></c><c r="N18" s="154"/><c r="O18" s="154"><v>0</v></c><c r="P18" s="154"><v>2613.3434436507432</v></c><c r="Q18" s="154"><v>0</v></c><c r="R18" s="154"/><c r="S18" s="154"/><c r="T18" s="64"><f t="shared" si="4"/><v>2613.3434436507432</v></c><c r="U18" s="64"><f t="shared" si="5"/><v>33192.415179589654</v></c></row><row r="19" spans="1:21" s="21" customFormat="1" ht="15.75" x14ac:dyDescent="0.25"><c r="A19" s="22"/><c r="B19" s="182" t="str"><f>Translation!A62</f><v>Aquecimento e arrefecimento</v></c><c r="C19" s="154"><v>0</v></c><c r="D19" s="154"/><c r="E19" s="154"/><c r="F19" s="64"><f t="shared" si="0"/><v>0</v></c><c r="G19" s="154"/><c r="H19" s="154"/><c r="I19" s="154"/><c r="J19" s="154"><v>0</v></c><c r="K19" s="154"><v>0</v></c><c r="L19" s="154"><v>0</v></c><c r="M19" s="64"><f t="shared" si="2"/><v>0</v></c><c r="N19" s="154"/><c r="O19" s="154"/><c r="P19" s="154"/><c r="Q19" s="154"/><c r="R19" s="154"/><c r="S19" s="154"/><c r="T19" s="64"><f t="shared" si="4"/><v>0</v></c><c r="U19" s="64"><f t="shared" si="5"/><v>0</v></c></row><row r="20" spans="1:21" s="21" customFormat="1" ht="15.75" x14ac:dyDescent="0.25"><c r="A20" s="22"/><c r="B20" s="182" t="str"><f>Translation!A63</f><v>Iluminação</v></c><c r="C20" s="154"><v>-363.28912883568017</v></c><c r="D20" s="154"/><c r="E20" s="154"/><c r="F20" s="64"><f t="shared" si="0"/><v>-363.28912883568017</v></c><c r="G20" s="154"/><c r="H20" s="154"/><c r="I20" s="154"/><c r="J20" s="154"/><c r="K20" s="154"/><c r="L20" s="154"/><c r="M20" s="64"><f t="shared" si="2"/><v>0</v></c><c r="N20" s="154"/><c r="O20" s="154"/><c r="P20" s="154"/><c r="Q20" s="154"/><c r="R20" s="154"/><c r="S20" s="154"/><c r="T20" s="64"><f t="shared" si="4"/><v>0</v></c><c r="U20" s="64"><f t="shared" si="5"/><v>-363.28912883568017</v></c></row><row r="21" spans="1:21" s="21" customFormat="1" ht="15.75" x14ac:dyDescent="0.25"><c r="A21" s="22"/><c r="B21" s="182" t="str"><f>Translation!A64</f><v>Cozinha</v></c><c r="C21" s="154"><v>0</v></c><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Frigoríficos e congeladores</v></c><c r="C22" s="154"><v>-363.39845448384017</v></c><c r="D22" s="154"/><c r="E22" s="154"/><c r="F22" s="64"><f t="shared" si="0"/><v>-363.39845448384017</v></c><c r="G22" s="154"/><c r="H22" s="154"/><c r="I22" s="154"/><c r="J22" s="154"/><c r="K22" s="154"/><c r="L22" s="154"/><c r="M22" s="64"><f t="shared" si="2"/><v>0</v></c><c r="N22" s="154"/><c r="O22" s="154"/><c r="P22" s="154"/><c r="Q22" s="154"/><c r="R22" s="154"/><c r="S22" s="154"/><c r="T22" s="64"><f t="shared" si="4"/><v>0</v></c><c r="U22" s="64"><f t="shared" si="5"/><v>-363.39845448384017</v></c></row><row r="23" spans="1:21" s="21" customFormat="1" ht="15.75" x14ac:dyDescent="0.25"><c r="A23" s="22"/><c r="B23" s="182" t="str"><f>Translation!A66</f><v>Máquinas de lavar e secar roupa</v></c><c r="C23" s="154"><v>0</v></c><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Máquinas de lavar louça</v></c><c r="C24" s="154"><v>0</v></c><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Televisores</v></c><c r="C25" s="154"><v>0</v></c><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Outros aparelhos eléctricos</v></c><c r="C26" s="154"><v>0</v></c><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SECTOR PRIMÁRIO</v></c><c r="C27" s="236"><f>SUM(C28:C29)</f><v>964.6244188768477</v></c><c r="D27" s="236"><f>SUM(D28:D29)</f><v>0</v></c><c r="E27" s="236"><f>SUM(E28:E29)</f><v>0</v></c><c r="F27" s="64"><f t="shared" si="0"/><v>964.6244188768477</v></c><c r="G27" s="236"><f t="shared" ref="G27:L27" si="6">SUM(G28:G29)</f><v>0</v></c><c r="H27" s="236"><f t="shared" si="6"/><v>31832.943537168285</v></c><c r="I27" s="236"><f t="shared" si="6"/><v>0</v></c><c r="J27" s="236"><f t="shared" si="6"/><v>0</v></c><c r="K27" s="236"><f t="shared" si="6"/><v>0</v></c><c r="L27" s="236"><f t="shared" si="6"/><v>0</v></c><c r="M27" s="64"><f t="shared" si="2"/><v>31832.943537168285</v></c><c r="N27" s="236"><f t="shared" ref="N27:S27" si="7">SUM(N28:N29)</f><v>0</v></c><c r="O27" s="236"><f t="shared" si="7"/><v>0</v></c><c r="P27" s="236"><f t="shared" si="7"/><v>0</v></c><c r="Q27" s="236"><f t="shared" si="7"/><v>0</v></c><c r="R27" s="236"><f t="shared" si="7"/><v>0</v></c><c r="S27" s="236"><f t="shared" si="7"/><v>0</v></c><c r="T27" s="64"><f t="shared" si="4"/><v>0</v></c><c r="U27" s="64"><f t="shared" si="5"/><v>32797.567956045132</v></c></row><row r="28" spans="1:21" s="21" customFormat="1" ht="15.75" x14ac:dyDescent="0.25"><c r="A28" s="22"/><c r="B28" s="183" t="str"><f>Translation!A71</f><v>Agricultura, produção animal, caça, floresta e pesca</v></c><c r="C28" s="154"><v>964.6244188768477</v></c><c r="D28" s="154"/><c r="E28" s="154"/><c r="F28" s="64"><f t="shared" si="0"/><v>964.6244188768477</v></c><c r="G28" s="154"/><c r="H28" s="154"><v>31832.943537168285</v></c><c r="I28" s="154"/><c r="J28" s="154"/><c r="K28" s="154"/><c r="L28" s="154"/><c r="M28" s="64"><f t="shared" si="2"/><v>31832.943537168285</v></c><c r="N28" s="154"/><c r="O28" s="154"/><c r="P28" s="154"/><c r="Q28" s="154"/><c r="R28" s="154"/><c r="S28" s="154"/><c r="T28" s="64"><f t="shared" si="4"/><v>0</v></c><c r="U28" s="64"><f t="shared" si="5"/><v>32797.567956045132</v></c></row><row r="29" spans="1:21" s="21" customFormat="1" ht="15.75" x14ac:dyDescent="0.25"><c r="A29" s="22"/><c r="B29" s="183" t="str"><f>Translation!A72</f><v>Indústrias extractivas</v></c><c r="C29" s="154"><v>0</v></c><c r="D29" s="154"/><c r="E29" s="154"/><c r="F29" s="64"><f t="shared" si="0"/><v>0</v></c><c r="G29" s="154"/><c r="H29" s="154"><v>0</v></c><c r="I29" s="154"/><c r="J29" s="154"/><c r="K29" s="154"/><c r="L29" s="154"/><c r="M29" s="64"><f t="shared" si="2"/><v>0</v></c><c r="N29" s="154"/><c r="O29" s="154"/><c r="P29" s="154"/><c r="Q29" s="154"/><c r="R29" s="154"/><c r="S29" s="154"/><c r="T29" s="64"><f t="shared" si="4"/><v>0</v></c><c r="U29" s="64"><f t="shared" si="5"/><v>0</v></c></row><row r="30" spans="1:21" s="21" customFormat="1" ht="15.75" x14ac:dyDescent="0.25"><c r="A30" s="22"/><c r="B30" s="61" t="str"><f>Translation!A73</f><v>SECTOR SECUNDÁRIO</v></c><c r="C30" s="236"><f>SUM(C31:C33)</f><v>5664.2724578638172</v></c><c r="D30" s="236"><f>SUM(D31:D33)</f><v>0</v></c><c r="E30" s="236"><f>SUM(E31:E33)</f><v>0</v></c><c r="F30" s="64"><f t="shared" si="0"/><v>5664.2724578638172</v></c><c r="G30" s="236"><f t="shared" ref="G30:L30" si="8">SUM(G31:G33)</f><v>7281.1488736269912</v></c><c r="H30" s="236"><f t="shared" si="8"/><v>0</v></c><c r="I30" s="236"><f t="shared" si="8"/><v>0</v></c><c r="J30" s="236"><f t="shared" si="8"/><v>0</v></c><c r="K30" s="236"><f t="shared" si="8"/><v>0</v></c><c r="L30" s="236"><f t="shared" si="8"/><v>0</v></c><c r="M30" s="64"><f t="shared" si="2"/><v>7281.1488736269912</v></c><c r="N30" s="236"><f t="shared" ref="N30:S30" si="9">SUM(N31:N33)</f><v>0</v></c><c r="O30" s="236"><f t="shared" si="9"/><v>0</v></c><c r="P30" s="236"><f t="shared" si="9"/><v>0</v></c><c r="Q30" s="236"><f t="shared" si="9"/><v>0</v></c><c r="R30" s="236"><f t="shared" si="9"/><v>0</v></c><c r="S30" s="236"><f t="shared" si="9"/><v>0</v></c><c r="T30" s="64"><f t="shared" si="4"/><v>0</v></c><c r="U30" s="64"><f t="shared" si="5"/><v>12945.421331490808</v></c></row><row r="31" spans="1:21" s="21" customFormat="1" ht="15.75" x14ac:dyDescent="0.25"><c r="A31" s="22"/><c r="B31" s="183" t="str"><f>Translation!A74</f><v>Indústrias transformadoras</v></c><c r="C31" s="154"><v>4501.24417340337</v></c><c r="D31" s="154"/><c r="E31" s="154"/><c r="F31" s="64"><f t="shared" si="0"/><v>4501.24417340337</v></c><c r="G31" s="154"><v>7281.1488736269912</v></c><c r="H31" s="154"/><c r="I31" s="154"/><c r="J31" s="154"/><c r="K31" s="154"/><c r="L31" s="154"/><c r="M31" s="64"><f t="shared" si="2"/><v>7281.1488736269912</v></c><c r="N31" s="154"/><c r="O31" s="154"/><c r="P31" s="154"/><c r="Q31" s="154"/><c r="R31" s="154"/><c r="S31" s="154"/><c r="T31" s="64"><f t="shared" si="4"/><v>0</v></c><c r="U31" s="64"><f t="shared" si="5"/><v>11782.39304703036</v></c></row><row r="32" spans="1:21" s="21" customFormat="1" ht="45" x14ac:dyDescent="0.25"><c r="A32" s="22"/><c r="B32" s="183" t="str"><f>Translation!A75</f><v>Captação, tratamento e distribuição de água; saneamento, gestão de resíduos
e despoluição</v></c><c r="C32" s="154"><v>0</v></c><c r="D32" s="154"/><c r="E32" s="154"/><c r="F32" s="64"><f t="shared" si="0"/><v>0</v></c><c r="G32" s="154"><v>0</v></c><c r="H32" s="154"/><c r="I32" s="154"/><c r="J32" s="154"/><c r="K32" s="154"/><c r="L32" s="154"/><c r="M32" s="64"><f t="shared" si="2"/><v>0</v></c><c r="N32" s="154"/><c r="O32" s="154"/><c r="P32" s="154"/><c r="Q32" s="154"/><c r="R32" s="154"/><c r="S32" s="154"/><c r="T32" s="64"><f t="shared" si="4"/><v>0</v></c><c r="U32" s="64"><f t="shared" si="5"/><v>0</v></c></row><row r="33" spans="1:21" s="21" customFormat="1" ht="15.75" x14ac:dyDescent="0.25"><c r="A33" s="22"/><c r="B33" s="183" t="str"><f>Translation!A76</f><v>Construção</v></c><c r="C33" s="154"><v>1163.0282844604476</v></c><c r="D33" s="154"/><c r="E33" s="154"/><c r="F33" s="64"><f t="shared" si="0"/><v>1163.0282844604476</v></c><c r="G33" s="154"><v>0</v></c><c r="H33" s="154"/><c r="I33" s="154"/><c r="J33" s="154"/><c r="K33" s="154"/><c r="L33" s="154"/><c r="M33" s="64"><f t="shared" si="2"/><v>0</v></c><c r="N33" s="154"/><c r="O33" s="154"/><c r="P33" s="154"/><c r="Q33" s="154"/><c r="R33" s="154"/><c r="S33" s="154"/><c r="T33" s="64"><f t="shared" si="4"/><v>0</v></c><c r="U33" s="64"><f t="shared" si="5"/><v>1163.0282844604476</v></c></row><row r="34" spans="1:21" s="21" customFormat="1" ht="15.75" x14ac:dyDescent="0.25"><c r="A34" s="22"/><c r="B34" s="61" t="str"><f>Translation!A77</f><v>SECTOR TERCIÁRIO</v></c><c r="C34" s="236"><f>SUM(C35:C42)</f><v>17769.428069352751</v></c><c r="D34" s="236"><f>SUM(D35:D42)</f><v>0</v></c><c r="E34" s="236"><f>SUM(E35:E42)</f><v>0</v></c><c r="F34" s="64"><f t="shared" si="0"/><v>17769.428069352751</v></c><c r="G34" s="236"><f t="shared" ref="G34:L34" si="10">SUM(G35:G42)</f><v>0</v></c><c r="H34" s="236"><f t="shared" si="10"/><v>0</v></c><c r="I34" s="236"><f t="shared" si="10"/><v>0</v></c><c r="J34" s="236"><f t="shared" si="10"/><v>0</v></c><c r="K34" s="236"><f t="shared" si="10"/><v>0</v></c><c r="L34" s="236"><f t="shared" si="10"/><v>0</v></c><c r="M34" s="64"><f t="shared" si="2"/><v>0</v></c><c r="N34" s="236"><f t="shared" ref="N34:S34" si="11">SUM(N35:N42)</f><v>0</v></c><c r="O34" s="236"><f t="shared" si="11"/><v>0</v></c><c r="P34" s="236"><f t="shared" si="11"/><v>0</v></c><c r="Q34" s="236"><f t="shared" si="11"/><v>0</v></c><c r="R34" s="236"><f t="shared" si="11"/><v>0</v></c><c r="S34" s="236"><f t="shared" si="11"/><v>0</v></c><c r="T34" s="64"><f t="shared" si="4"/><v>0</v></c><c r="U34" s="64"><f t="shared" si="5"/><v>17769.428069352751</v></c></row><row r="35" spans="1:21" s="21" customFormat="1" ht="30" x14ac:dyDescent="0.25"><c r="A35" s="22"/><c r="B35" s="183" t="str"><f>Translation!A78</f><v>Comércio por grosso e a retalho; reparação de veículos automóveis e motociclos</v></c><c r="C35" s="154"><v>4846.1958280701501</v></c><c r="D35" s="154"/><c r="E35" s="154"/><c r="F35" s="64"><f t="shared" si="0"/><v>4846.1958280701501</v></c><c r="G35" s="154"/><c r="H35" s="154"/><c r="I35" s="154"/><c r="J35" s="154"/><c r="K35" s="154"/><c r="L35" s="154"/><c r="M35" s="64"><f t="shared" si="2"/><v>0</v></c><c r="N35" s="154"/><c r="O35" s="154"/><c r="P35" s="154"/><c r="Q35" s="154"/><c r="R35" s="154"/><c r="S35" s="154"/><c r="T35" s="64"><f t="shared" si="4"/><v>0</v></c><c r="U35" s="64"><f t="shared" si="5"/><v>4846.1958280701501</v></c></row><row r="36" spans="1:21" s="21" customFormat="1" ht="15.75" x14ac:dyDescent="0.25"><c r="A36" s="22"/><c r="B36" s="183" t="str"><f>Translation!A79</f><v>Alojamento, restauração e similares</v></c><c r="C36" s="154"><v>1398.9819776243812</v></c><c r="D36" s="154"/><c r="E36" s="154"/><c r="F36" s="64"><f t="shared" si="0"/><v>1398.9819776243812</v></c><c r="G36" s="154"/><c r="H36" s="154"/><c r="I36" s="154"/><c r="J36" s="154"/><c r="K36" s="154"/><c r="L36" s="154"/><c r="M36" s="64"><f t="shared" si="2"/><v>0</v></c><c r="N36" s="154"/><c r="O36" s="154"/><c r="P36" s="154"/><c r="Q36" s="154"/><c r="R36" s="154"/><c r="S36" s="154"/><c r="T36" s="64"><f t="shared" si="4"/><v>0</v></c><c r="U36" s="64"><f t="shared" si="5"/><v>1398.9819776243812</v></c></row><row r="37" spans="1:21" s="21" customFormat="1" ht="15.75" x14ac:dyDescent="0.25"><c r="A37" s="22"/><c r="B37" s="183" t="str"><f>Translation!A80</f><v>Administração pública e segurança social</v></c><c r="C37" s="154"><v>4410.6885562583693</v></c><c r="D37" s="154"/><c r="E37" s="154"/><c r="F37" s="64"><f t="shared" si="0"/><v>4410.6885562583693</v></c><c r="G37" s="154"/><c r="H37" s="154"/><c r="I37" s="154"/><c r="J37" s="154"/><c r="K37" s="154"/><c r="L37" s="154"/><c r="M37" s="64"><f t="shared" si="2"/><v>0</v></c><c r="N37" s="154"/><c r="O37" s="154"/><c r="P37" s="154"/><c r="Q37" s="154"/><c r="R37" s="154"/><c r="S37" s="154"/><c r="T37" s="64"><f t="shared" si="4"/><v>0</v></c><c r="U37" s="64"><f t="shared" si="5"/><v>4410.6885562583693</v></c></row><row r="38" spans="1:21" s="21" customFormat="1" ht="15.75" x14ac:dyDescent="0.25"><c r="A38" s="22"/><c r="B38" s="183" t="str"><f>Translation!A81</f><v>Defesa, justiça, polícia e bombeiros</v></c><c r="C38" s="154"><v>230.78669719953908</v></c><c r="D38" s="154"/><c r="E38" s="154"/><c r="F38" s="64"><f t="shared" si="0"/><v>230.78669719953908</v></c><c r="G38" s="154"/><c r="H38" s="154"/><c r="I38" s="154"/><c r="J38" s="154"/><c r="K38" s="154"/><c r="L38" s="154"/><c r="M38" s="64"><f t="shared" si="2"/><v>0</v></c><c r="N38" s="154"/><c r="O38" s="154"/><c r="P38" s="154"/><c r="Q38" s="154"/><c r="R38" s="154"/><c r="S38" s="154"/><c r="T38" s="64"><f t="shared" si="4"/><v>0</v></c><c r="U38" s="64"><f t="shared" si="5"/><v>230.78669719953908</v></c></row><row r="39" spans="1:21" s="21" customFormat="1" ht="15.75" x14ac:dyDescent="0.25"><c r="A39" s="22"/><c r="B39" s="183" t="str"><f>Translation!A82</f><v>Educação</v></c><c r="C39" s="154"><v>652.80508720254954</v></c><c r="D39" s="154"/><c r="E39" s="154"/><c r="F39" s="64"><f t="shared" si="0"/><v>652.80508720254954</v></c><c r="G39" s="154"/><c r="H39" s="154"/><c r="I39" s="154"/><c r="J39" s="154"/><c r="K39" s="154"/><c r="L39" s="154"/><c r="M39" s="64"><f t="shared" si="2"/><v>0</v></c><c r="N39" s="154"/><c r="O39" s="154"/><c r="P39" s="154"/><c r="Q39" s="154"/><c r="R39" s="154"/><c r="S39" s="154"/><c r="T39" s="64"><f t="shared" si="4"/><v>0</v></c><c r="U39" s="64"><f t="shared" si="5"/><v>652.80508720254954</v></c></row><row r="40" spans="1:21" s="21" customFormat="1" ht="15.75" x14ac:dyDescent="0.25"><c r="A40" s="22"/><c r="B40" s="183" t="str"><f>Translation!A83</f><v>Actividades de saúde humana e apoio social</v></c><c r="C40" s="154"><v>945.89565786877677</v></c><c r="D40" s="154"/><c r="E40" s="154"/><c r="F40" s="64"><f t="shared" si="0"/><v>945.89565786877677</v></c><c r="G40" s="154"/><c r="H40" s="154"/><c r="I40" s="154"/><c r="J40" s="154"/><c r="K40" s="154"/><c r="L40" s="154"/><c r="M40" s="64"><f t="shared" si="2"/><v>0</v></c><c r="N40" s="154"/><c r="O40" s="154"/><c r="P40" s="154"/><c r="Q40" s="154"/><c r="R40" s="154"/><c r="S40" s="154"/><c r="T40" s="64"><f t="shared" si="4"/><v>0</v></c><c r="U40" s="64"><f t="shared" si="5"/><v>945.89565786877677</v></c></row><row r="41" spans="1:21" s="21" customFormat="1" ht="15.75" x14ac:dyDescent="0.25"><c r="A41" s="22"/><c r="B41" s="183" t="str"><f>Translation!A84</f><v>Outros serviços</v></c><c r="C41" s="154"><v>3105.1036572502885</v></c><c r="D41" s="154"/><c r="E41" s="154"/><c r="F41" s="64"><f t="shared" si="0"/><v>3105.1036572502885</v></c><c r="G41" s="154"/><c r="H41" s="154"/><c r="I41" s="154"/><c r="J41" s="154"/><c r="K41" s="154"/><c r="L41" s="154"/><c r="M41" s="64"><f t="shared" si="2"/><v>0</v></c><c r="N41" s="154"/><c r="O41" s="154"/><c r="P41" s="154"/><c r="Q41" s="154"/><c r="R41" s="154"/><c r="S41" s="154"/><c r="T41" s="64"><f t="shared" si="4"/><v>0</v></c><c r="U41" s="64"><f t="shared" si="5"/><v>3105.1036572502885</v></c></row><row r="42" spans="1:21" s="21" customFormat="1" ht="15.75" x14ac:dyDescent="0.25"><c r="A42" s="22"/><c r="B42" s="183" t="str"><f>Translation!A85</f><v>Iluminação pública</v></c><c r="C42" s="154"><v>2178.970607878698</v></c><c r="D42" s="154"/><c r="E42" s="154"/><c r="F42" s="64"><f t="shared" si="0"/><v>2178.970607878698</v></c><c r="G42" s="154"/><c r="H42" s="154"/><c r="I42" s="154"/><c r="J42" s="154"/><c r="K42" s="154"/><c r="L42" s="154"/><c r="M42" s="64"><f t="shared" si="2"/><v>0</v></c><c r="N42" s="154"/><c r="O42" s="154"/><c r="P42" s="154"/><c r="Q42" s="154"/><c r="R42" s="154"/><c r="S42" s="154"/><c r="T42" s="64"><f t="shared" si="4"/><v>0</v></c><c r="U42" s="64"><f t="shared" si="5"/><v>2178.970607878698</v></c></row><row r="43" spans="1:21" s="21" customFormat="1" ht="15.75" x14ac:dyDescent="0.25"><c r="A43" s="22"/><c r="B43" s="61" t="str"><f>Translation!A86</f><v>TRANSPORTES</v></c><c r="C43" s="236"><f>SUM(C44:C47)</f><v>3050.5991504226195</v></c><c r="D43" s="236"><f>SUM(D44:D47)</f><v>0</v></c><c r="E43" s="236"><f>SUM(E44:E47)</f><v>0</v></c><c r="F43" s="64"><f t="shared" si="0"/><v>3050.5991504226195</v></c><c r="G43" s="236"><f t="shared" ref="G43:L43" si="12">SUM(G44:G47)</f><v>0</v></c><c r="H43" s="236"><f t="shared" si="12"/><v>53030.637120177656</v></c><c r="I43" s="236"><f t="shared" si="12"/><v>15200.864640265412</v></c><c r="J43" s="236"><f t="shared" si="12"/><v>0</v></c><c r="K43" s="236"><f t="shared" si="12"/><v>0</v></c><c r="L43" s="236"><f t="shared" si="12"/><v>0</v></c><c r="M43" s="64"><f t="shared" si="2"/><v>68231.501760443061</v></c><c r="N43" s="236"><f t="shared" ref="N43:S43" si="13">SUM(N44:N47)</f><v>0</v></c><c r="O43" s="236"><f t="shared" si="13"/><v>0</v></c><c r="P43" s="236"><f t="shared" si="13"/><v>0</v></c><c r="Q43" s="236"><f t="shared" si="13"/><v>0</v></c><c r="R43" s="236"><f t="shared" si="13"/><v>0</v></c><c r="S43" s="236"><f t="shared" si="13"/><v>0</v></c><c r="T43" s="64"><f t="shared" si="4"/><v>0</v></c><c r="U43" s="64"><f t="shared" si="5"/><v>71282.100910865687</v></c></row><row r="44" spans="1:21" s="21" customFormat="1" ht="30" x14ac:dyDescent="0.25"><c r="A44" s="22"/><c r="B44" s="183" t="str"><f>Translation!A87</f><v>Transporte de passageiros por estrada (transportes públicos, táxis, turismo, transporte escolar, etc.)</v></c><c r="C44" s="154"><v>2988.1041589013821</v></c><c r="D44" s="154"/><c r="E44" s="154"/><c r="F44" s="64"><f t="shared" si="0"/><v>2988.1041589013821</v></c><c r="G44" s="154"/><c r="H44" s="154"><v>53030.637120177656</v></c><c r="I44" s="154"><v>15200.864640265412</v></c><c r="J44" s="154"><v>0</v></c><c r="K44" s="154"><v>0</v></c><c r="L44" s="154"/><c r="M44" s="64"><f t="shared" si="2"/><v>68231.501760443061</v></c><c r="N44" s="154"/><c r="O44" s="154"/><c r="P44" s="154"/><c r="Q44" s="154"/><c r="R44" s="154"/><c r="S44" s="154"/><c r="T44" s="64"><f t="shared" si="4"/><v>0</v></c><c r="U44" s="64"><f t="shared" si="5"/><v>71219.605919344438</v></c></row><row r="45" spans="1:21" s="21" customFormat="1" ht="30" x14ac:dyDescent="0.25"><c r="A45" s="22"/><c r="B45" s="183" t="str"><f>Translation!A88</f><v>Transporte de mercadorias por estrada e serviços de mudanças</v></c><c r="C45" s="154"><v>24.342499243251794</v></c><c r="D45" s="154"/><c r="E45" s="154"/><c r="F45" s="64"><f t="shared" si="0"/><v>24.342499243251794</v></c><c r="G45" s="154"/><c r="H45" s="154"><v>0</v></c><c r="I45" s="154"><v>0</v></c><c r="J45" s="154"><v>0</v></c><c r="K45" s="154"><v>0</v></c><c r="L45" s="154"/><c r="M45" s="64"><f t="shared" si="2"/><v>0</v></c><c r="N45" s="154"/><c r="O45" s="154"/><c r="P45" s="154"/><c r="Q45" s="154"/><c r="R45" s="154"/><c r="S45" s="154"/><c r="T45" s="64"><f t="shared" si="4"/><v>0</v></c><c r="U45" s="64"><f t="shared" si="5"/><v>24.342499243251794</v></c></row><row r="46" spans="1:21" s="21" customFormat="1" ht="15.75" x14ac:dyDescent="0.25"><c r="A46" s="22"/><c r="B46" s="183" t="str"><f>Translation!A89</f><v>Outras frotas de serviços públicos e privados</v></c><c r="C46" s="154"><v>5.4306577832439729</v></c><c r="D46" s="154"/><c r="E46" s="154"/><c r="F46" s="64"><f t="shared" si="0"/><v>5.4306577832439729</v></c><c r="G46" s="154"/><c r="H46" s="154"><v>0</v></c><c r="I46" s="154"><v>0</v></c><c r="J46" s="154"><v>0</v></c><c r="K46" s="154"><v>0</v></c><c r="L46" s="154"/><c r="M46" s="64"><f t="shared" si="2"/><v>0</v></c><c r="N46" s="154"/><c r="O46" s="154"/><c r="P46" s="154"/><c r="Q46" s="154"/><c r="R46" s="154"/><c r="S46" s="154"/><c r="T46" s="64"><f t="shared" si="4"/><v>0</v></c><c r="U46" s="64"><f t="shared" si="5"/><v>5.4306577832439729</v></c></row><row r="47" spans="1:21" s="21" customFormat="1" ht="15.75" x14ac:dyDescent="0.25"><c r="A47" s="22"/><c r="B47" s="182" t="str"><f>Translation!A90</f><v>Transporte particular</v></c><c r="C47" s="154"><v>32.721834494741515</v></c><c r="D47" s="154"/><c r="E47" s="154"/><c r="F47" s="64"><f t="shared" si="0"/><v>32.721834494741515</v></c><c r="G47" s="154"/><c r="H47" s="154"><v>0</v></c><c r="I47" s="154"><v>0</v></c><c r="J47" s="154"><v>0</v></c><c r="K47" s="154"><v>0</v></c><c r="L47" s="154"/><c r="M47" s="64"><f t="shared" si="2"/><v>0</v></c><c r="N47" s="154"/><c r="O47" s="154"/><c r="P47" s="154"/><c r="Q47" s="154"/><c r="R47" s="154"/><c r="S47" s="154"/><c r="T47" s="64"><f t="shared" si="4"/><v>0</v></c><c r="U47" s="64"><f t="shared" si="5"/><v>32.721834494741515</v></c></row><row r="48" spans="1:21" s="21" customFormat="1" ht="15.75" x14ac:dyDescent="0.25"><c r="A48" s="22"/><c r="B48" s="73" t="str"><f>Translation!A118</f><v>TOTAL PARA MERCADO INTERNO</v></c><c r="C48" s="65"><f>C17+C27+C30+C34+C43</f><v>42850.759305932435</v></c><c r="D48" s="65"><f>D17+D27+D30+D34+D43</f><v>0</v></c><c r="E48" s="65"><f>E17+E27+E30+E34+E43</f><v>0</v></c><c r="F48" s="64"><f t="shared" si="0"/><v>42850.759305932435</v></c><c r="G48" s="65"><f t="shared" ref="G48:L48" si="14">G17+G27+G30+G34+G43</f><v>7281.1488736269912</v></c><c r="H48" s="65"><f t="shared" si="14"/><v>84863.580657345941</v></c><c r="I48" s="65"><f t="shared" si="14"/><v>15200.864640265412</v></c><c r="J48" s="65"><f t="shared" si="14"/><v>14450.548943202994</v></c><c r="K48" s="65"><f t="shared" si="14"/><v>0</v></c><c r="L48" s="65"><f t="shared" si="14"/><v>0</v></c><c r="M48" s="64"><f t="shared" si="2"/><v>121796.14311444134</v></c><c r="N48" s="65"><f t="shared" ref="N48:S48" si="15">N17+N27+N30+N34+N43</f><v>0</v></c><c r="O48" s="65"><f t="shared" si="15"/><v>0</v></c><c r="P48" s="65"><f t="shared" si="15"/><v>2613.3434436507432</v></c><c r="Q48" s="65"><f t="shared" si="15"/><v>0</v></c><c r="R48" s="65"><f t="shared" si="15"/><v>0</v></c><c r="S48" s="65"><f t="shared" si="15"/><v>0</v></c><c r="T48" s="64"><f t="shared" si="4"/><v>2613.3434436507432</v></c><c r="U48" s="64"><f t="shared" si="5"/><v>167260.24586402453</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42850.759305932435</v></c><c r="D52" s="53"><f t="shared" ref="D52:U52" si="16">SUM(D48:D51)</f><v>0</v></c><c r="E52" s="53"><f t="shared" si="16"/><v>0</v></c><c r="F52" s="53"><f t="shared" si="16"/><v>42850.759305932435</v></c><c r="G52" s="53"><f t="shared" si="16"/><v>7281.1488736269912</v></c><c r="H52" s="53"><f t="shared" si="16"/><v>84863.580657345941</v></c><c r="I52" s="53"><f t="shared" si="16"/><v>15200.864640265412</v></c><c r="J52" s="53"><f t="shared" si="16"/><v>14450.548943202994</v></c><c r="K52" s="53"><f t="shared" si="16"/><v>0</v></c><c r="L52" s="53"><f t="shared" si="16"/><v>0</v></c><c r="M52" s="53"><f t="shared" si="16"/><v>121796.14311444134</v></c><c r="N52" s="53"><f t="shared" si="16"/><v>0</v></c><c r="O52" s="53"><f t="shared" si="16"/><v>0</v></c><c r="P52" s="53"><f t="shared" si="16"/><v>2613.3434436507432</v></c><c r="Q52" s="53"><f t="shared" si="16"/><v>0</v></c><c r="R52" s="53"><f t="shared" si="16"/><v>0</v></c><c r="S52" s="53"><f t="shared" si="16"/><v>0</v></c><c r="T52" s="53"><f t="shared" si="16"/><v>2613.3434436507432</v></c><c r="U52" s="53"><f t="shared" si="16"/><v>167260.24586402453</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75" t="str"><f>Translation!A121</f><v>SECTOR DE PRODUÇÃO</v></c><c r="C56" s="277" t="str"><f>Translation!A122</f><v>FONTE DE ENERGIA</v></c><c r="D56" s="278"/><c r="E56" s="278"/><c r="F56" s="278"/><c r="G56" s="278"/><c r="H56" s="278"/><c r="I56" s="278"/><c r="J56" s="278"/><c r="K56" s="278"/><c r="L56" s="278"/><c r="M56" s="278"/><c r="N56" s="278"/><c r="O56" s="278"/><c r="P56" s="278"/><c r="Q56" s="278"/><c r="R56" s="278"/><c r="S56" s="279"/><c r="T56" s="277" t="str"><f>Translation!A139</f><v>CONVERSÃO DE ENERGIA SECUNDÁRIA</v></c><c r="U56" s="278"/><c r="V56" s="279"/><c r="W56" s="296" t="str"><f>Translation!A130</f><v>FLUXOS ENERGÉTICOS</v></c><c r="X56" s="297"/><c r="Y56" s="297"/><c r="Z56" s="297"/><c r="AA56" s="297"/><c r="AB56" s="298"/><c r="AC56" s="308" t="str"><f>Translation!A119</f><v>TOTAL</v></c><c r="AD56" s="259" t="str"><f>Translation!A138</f><v>Perdas de distribuição e consumos próprios</v></c></row><row r="57" spans="2:32" s="51" customFormat="1" ht="18" customHeight="1" x14ac:dyDescent="0.25"><c r="B57" s="276"/><c r="C57" s="312" t="str"><f>Translation!A99</f><v>Combustíveis fósseis</v></c><c r="D57" s="313"/><c r="E57" s="313"/><c r="F57" s="313"/><c r="G57" s="313"/><c r="H57" s="313"/><c r="I57" s="314"/><c r="J57" s="312" t="str"><f>Translation!A107</f><v>Fontes energéticas renováveis (de sistemas ligados a redes públicas)</v></c><c r="K57" s="313"/><c r="L57" s="313"/><c r="M57" s="313"/><c r="N57" s="313"/><c r="O57" s="313"/><c r="P57" s="313"/><c r="Q57" s="313"/><c r="R57" s="314"/><c r="S57" s="259" t="str"><f>Translation!A117</f><v>Subtotal</v></c><c r="T57" s="306" t="str"><f>Translation!A140</f><v>Conversão de electricidade para frio</v></c><c r="U57" s="306" t="str"><f>Translation!A141</f><v>Conversão de calor para frio</v></c><c r="V57" s="259" t="str"><f>Translation!A117</f><v>Subtotal</v></c><c r="W57" s="310" t="str"><f>Translation!A131</f><v>Armazenamento</v></c><c r="X57" s="311"/><c r="Y57" s="309" t="str"><f>Translation!A134</f><v>Ligação externa</v></c><c r="Z57" s="309"/><c r="AA57" s="275" t="str"><f>Translation!A137</f><v>Reexportação e consumos externos</v></c><c r="AB57" s="259" t="str"><f>Translation!A117</f><v>Subtotal</v></c><c r="AC57" s="308"/><c r="AD57" s="259"/></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9"/><c r="T58" s="307"/><c r="U58" s="307"/><c r="V58" s="259"/><c r="W58" s="110" t="str"><f>Translation!A132</f><v>Entrada para armazenamento</v></c><c r="X58" s="110" t="str"><f>Translation!A133</f><v>Saída do armazenamento</v></c><c r="Y58" s="110" t="str"><f>Translation!A135</f><v>Importação para a ilha</v></c><c r="Z58" s="110" t="str"><f>Translation!A136</f><v>Exportação da ilha</v></c><c r="AA58" s="276"/><c r="AB58" s="259"/><c r="AC58" s="308"/><c r="AD58" s="259"/></row><row r="59" spans="2:32" s="51" customFormat="1" ht="15.75" x14ac:dyDescent="0.25"><c r="B59" s="184" t="str"><f>Translation!A124</f><v>Electricidade</v></c><c r="C59" s="237"><v>27938.554784369371</v></c><c r="D59" s="237"><v>1</v></c><c r="E59" s="237"/><c r="F59" s="237"/><c r="G59" s="237"><v>0</v></c><c r="H59" s="237"><v>0</v></c><c r="I59" s="59"><f>SUM(C59:H59)</f><v>27939.554784369371</v></c><c r="J59" s="237"><v>0</v></c><c r="K59" s="237"><v>7358.4</v></c><c r="L59" s="237"><v>1314</v></c><c r="M59" s="237"><v>11000</v></c><c r="N59" s="237"><v>0</v></c><c r="O59" s="237"><v>0</v></c><c r="P59" s="237"><v>0</v></c><c r="Q59" s="237"><v>0</v></c><c r="R59" s="59"><f>SUM(J59:Q59)</f><v>19672.400000000001</v></c><c r="S59" s="59"><f>I59+R59</f><v>47611.954784369373</v></c><c r="T59" s="237"/><c r="U59" s="237"/><c r="V59" s="59"><f>-T59</f><v>0</v></c><c r="W59" s="237"/><c r="X59" s="237"/><c r="Y59" s="237"/><c r="Z59" s="237"/><c r="AA59" s="186"><f>$C$49+$C$50+$C$51</f><v>0</v></c><c r="AB59" s="59"><f>-SUM(W59)+SUM(X59:Y59)-SUM(Z59:AA59)</f><v>0</v></c><c r="AC59" s="64"><f>S59+V59+AB59</f><v>47611.954784369373</v></c><c r="AD59" s="187"><f>AC59-C48</f><v>4761.1954784369373</v></c></row><row r="60" spans="2:32" s="51" customFormat="1" ht="15.75" x14ac:dyDescent="0.25"><c r="B60" s="183" t="str"><f>Translation!A125</f><v>Calor</v></c><c r="C60" s="237"><v>0</v></c><c r="D60" s="237"><v>0</v></c><c r="E60" s="237"/><c r="F60" s="237"/><c r="G60" s="237"><v>0</v></c><c r="H60" s="237"><v>0</v></c><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27938.554784369371</v></c><c r="D62" s="53"><f t="shared" si="17"/><v>1</v></c><c r="E62" s="53"><f t="shared" si="17"/><v>0</v></c><c r="F62" s="53"><f t="shared" si="17"/><v>0</v></c><c r="G62" s="53"><f t="shared" si="17"/><v>0</v></c><c r="H62" s="53"><f t="shared" si="17"/><v>0</v></c><c r="I62" s="53"><f t="shared" si="17"/><v>27939.554784369371</v></c><c r="J62" s="53"><f t="shared" si="17"/><v>0</v></c><c r="K62" s="53"><f t="shared" si="17"/><v>7358.4</v></c><c r="L62" s="53"><f t="shared" si="17"/><v>1314</v></c><c r="M62" s="53"><f t="shared" si="17"/><v>11000</v></c><c r="N62" s="53"><f t="shared" si="17"/><v>0</v></c><c r="O62" s="53"><f t="shared" si="17"/><v>0</v></c><c r="P62" s="53"><f t="shared" si="17"/><v>0</v></c><c r="Q62" s="53"><f t="shared" si="17"/><v>0</v></c><c r="R62" s="53"><f t="shared" si="17"/><v>19672.400000000001</v></c><c r="S62" s="53"><f t="shared" si="17"/><v>47611.954784369373</v></c><c r="T62" s="53"><f t="shared" si="17"/><v>0</v></c><c r="U62" s="53"><f t="shared" si="17"/><v>0</v></c><c r="V62" s="53"><f t="shared" si="17"/><v>0</v></c><c r="W62" s="53"><f t="shared" si="17"/><v>0</v></c><c r="X62" s="53"><f t="shared" si="17"/><v>0</v></c><c r="Y62" s="53"><f t="shared" si="17"/><v>0</v></c><c r="Z62" s="53"><f t="shared" si="17"/><v>0</v></c><c r="AA62" s="53"><f t="shared" si="17"/><v>0</v></c><c r="AB62" s="53"><f t="shared" si="17"/><v>0</v></c><c r="AC62" s="53"><f t="shared" si="17"/><v>47611.954784369373</v></c><c r="AD62" s="53"><f t="shared" si="17"/><v>4761.1954784369373</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75" t="str"><f>Translation!A121</f><v>SECTOR DE PRODUÇÃO</v></c><c r="C66" s="303" t="str"><f>Translation!A143</f><v>FONTE DE ENERGIA PRIMÁRIA</v></c><c r="D66" s="304"/><c r="E66" s="304"/><c r="F66" s="304"/><c r="G66" s="304"/><c r="H66" s="304"/><c r="I66" s="304"/><c r="J66" s="304"/><c r="K66" s="304"/><c r="L66" s="304"/><c r="M66" s="304"/><c r="N66" s="304"/><c r="O66" s="304"/><c r="P66" s="304"/><c r="Q66" s="304"/><c r="R66" s="304"/><c r="S66" s="305"/><c r="T66" s="299"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76"/><c r="C67" s="303" t="str"><f>Translation!A99</f><v>Combustíveis fósseis</v></c><c r="D67" s="304"/><c r="E67" s="304"/><c r="F67" s="304"/><c r="G67" s="304"/><c r="H67" s="304"/><c r="I67" s="305"/><c r="J67" s="303" t="str"><f>Translation!A108</f><v>Fontes energéticas renováveis</v></c><c r="K67" s="304"/><c r="L67" s="304"/><c r="M67" s="304"/><c r="N67" s="304"/><c r="O67" s="304"/><c r="P67" s="304"/><c r="Q67" s="304"/><c r="R67" s="305"/><c r="S67" s="302" t="str"><f>Translation!A119</f><v>TOTAL</v></c><c r="T67" s="300"/><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2"/><c r="T68" s="301"/><c r="U68" s="57"/><c r="V68" s="57"/><c r="W68" s="68"/><c r="X68" s="57"/><c r="Y68" s="57"/><c r="Z68" s="57"/><c r="AA68" s="57"/><c r="AB68" s="57"/><c r="AC68" s="57"/><c r="AD68" s="57"/><c r="AE68" s="57"/></row><row r="69" spans="2:31" s="51" customFormat="1" ht="15.75" x14ac:dyDescent="0.25"><c r="B69" s="184" t="str"><f>Translation!A124</f><v>Electricidade</v></c><c r="C69" s="237"><v>65353.344524840628</v></c><c r="D69" s="237"><v>2.3391812865497075</v></c><c r="E69" s="237"/><c r="F69" s="237"/><c r="G69" s="237"><v>0</v></c><c r="H69" s="237"><v>0</v></c><c r="I69" s="59"><f>SUM(C69:H69)</f><v>65355.68370612718</v></c><c r="J69" s="185"><f>J59</f><v>0</v></c><c r="K69" s="185"><f t="shared" ref="K69:P69" si="18">K59</f><v>7358.4</v></c><c r="L69" s="185"><f t="shared" si="18"/><v>1314</v></c><c r="M69" s="185"><f t="shared" si="18"/><v>11000</v></c><c r="N69" s="185"><f t="shared" si="18"/><v>0</v></c><c r="O69" s="237"/><c r="P69" s="185"><f t="shared" si="18"/><v>0</v></c><c r="Q69" s="185"/><c r="R69" s="59"><f>SUM(J69:Q69)</f><v>19672.400000000001</v></c><c r="S69" s="59"><f>I69+R69</f><v>85028.083706127189</v></c><c r="T69" s="71"><f>S69-AC59+AB59</f><v>37416.128921757816</v></c><c r="U69" s="57"/><c r="V69" s="57"/><c r="W69" s="58"/><c r="X69" s="57"/><c r="Y69" s="57"/><c r="Z69" s="57"/><c r="AA69" s="57"/><c r="AB69" s="57"/><c r="AC69" s="57"/><c r="AD69" s="57"/><c r="AE69" s="57"/></row><row r="70" spans="2:31" s="51" customFormat="1" ht="15.75" x14ac:dyDescent="0.25"><c r="B70" s="184" t="str"><f>Translation!A125</f><v>Calor</v></c><c r="C70" s="237"><v>0</v></c><c r="D70" s="237"><v>0</v></c><c r="E70" s="237"/><c r="F70" s="237"/><c r="G70" s="237"><v>0</v></c><c r="H70" s="237"><v>0</v></c><c r="I70" s="59"><f>SUM(C70:H70)</f><v>0</v></c><c r="J70" s="185"><f t="shared" ref="J70:P70" si="19">J60</f><v>0</v></c><c r="K70" s="185"><f t="shared" si="19"/><v>0</v></c><c r="L70" s="185"><f t="shared" si="19"/><v>0</v></c><c r="M70" s="185"><f t="shared" si="19"/><v>0</v></c><c r="N70" s="185"><f t="shared" si="19"/><v>0</v></c><c r="O70" s="237"/><c r="P70" s="185"><f t="shared" si="19"/><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65353.344524840628</v></c><c r="D72" s="53"><f t="shared" si="20"/><v>2.3391812865497075</v></c><c r="E72" s="53"><f t="shared" si="20"/><v>0</v></c><c r="F72" s="53"><f t="shared" si="20"/><v>0</v></c><c r="G72" s="53"><f t="shared" si="20"/><v>0</v></c><c r="H72" s="53"><f t="shared" si="20"/><v>0</v></c><c r="I72" s="53"><f t="shared" si="20"/><v>65355.68370612718</v></c><c r="J72" s="53"><f t="shared" si="20"/><v>0</v></c><c r="K72" s="53"><f t="shared" si="20"/><v>7358.4</v></c><c r="L72" s="53"><f t="shared" si="20"/><v>1314</v></c><c r="M72" s="53"><f t="shared" si="20"/><v>11000</v></c><c r="N72" s="53"><f t="shared" si="20"/><v>0</v></c><c r="O72" s="53"><f t="shared" si="20"/><v>0</v></c><c r="P72" s="53"><f t="shared" si="20"/><v>0</v></c><c r="Q72" s="53"><f t="shared" si="20"/><v>0</v></c><c r="R72" s="53"><f t="shared" si="20"/><v>19672.400000000001</v></c><c r="S72" s="53"><f t="shared" si="20"/><v>85028.083706127189</v></c><c r="T72" s="71"><f>S72-AC62+AB62</f><v>37416.128921757816</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18" t="str"><f>Translation!A123</f><v>Produto energético</v></c><c r="C76" s="277" t="str"><f>Translation!A143</f><v>FONTE DE ENERGIA PRIMÁRIA</v></c><c r="D76" s="278"/><c r="E76" s="278"/><c r="F76" s="278"/><c r="G76" s="278"/><c r="H76" s="278"/><c r="I76" s="278"/><c r="J76" s="278"/><c r="K76" s="278"/><c r="L76" s="278"/><c r="M76" s="278"/><c r="N76" s="278"/><c r="O76" s="278"/><c r="P76" s="278"/><c r="Q76" s="278"/><c r="R76" s="278"/><c r="S76" s="278"/><c r="T76" s="278"/><c r="U76" s="278"/><c r="V76" s="278"/><c r="W76" s="278"/><c r="X76" s="278"/><c r="Y76" s="279"/></row><row r="77" spans="2:31" s="51" customFormat="1" ht="15" customHeight="1" x14ac:dyDescent="0.25"><c r="B77" s="319"/><c r="C77" s="277" t="str"><f>Translation!A99</f><v>Combustíveis fósseis</v></c><c r="D77" s="278"/><c r="E77" s="278"/><c r="F77" s="278"/><c r="G77" s="278"/><c r="H77" s="278"/><c r="I77" s="279"/><c r="J77" s="277" t="str"><f>Translation!A108</f><v>Fontes energéticas renováveis</v></c><c r="K77" s="278"/><c r="L77" s="278"/><c r="M77" s="278"/><c r="N77" s="278"/><c r="O77" s="278"/><c r="P77" s="278"/><c r="Q77" s="278"/><c r="R77" s="279"/><c r="S77" s="296" t="str"><f>Translation!A124</f><v>Electricidade</v></c><c r="T77" s="297"/><c r="U77" s="297"/><c r="V77" s="298"/><c r="W77" s="70" t="str"><f>Translation!A125</f><v>Calor</v></c><c r="X77" s="70" t="str"><f>Translation!A126</f><v>Frio</v></c><c r="Y77" s="275" t="str"><f>Translation!A119</f><v>TOTAL</v></c></row><row r="78" spans="2:31" s="51" customFormat="1" ht="46.5" customHeight="1" x14ac:dyDescent="0.25"><c r="B78" s="320"/><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76"/></row><row r="79" spans="2:31" s="51" customFormat="1" ht="15.75" x14ac:dyDescent="0.25"><c r="B79" s="107" t="str"><f>Translation!A119</f><v>TOTAL</v></c><c r="C79" s="186"><f t="shared" ref="C79:H79" si="21">G48+C72</f><v>72634.493398467617</v></c><c r="D79" s="186"><f t="shared" si="21"/><v>84865.919838632486</v></c><c r="E79" s="186"><f t="shared" si="21"/><v>15200.864640265412</v></c><c r="F79" s="186"><f t="shared" si="21"/><v>14450.548943202994</v></c><c r="G79" s="186"><f t="shared" si="21"/><v>0</v></c><c r="H79" s="186"><f t="shared" si="21"/><v>0</v></c><c r="I79" s="53"><f>SUM(C79:H79)</f><v>187151.82682056853</v></c><c r="J79" s="186"><f t="shared" ref="J79:O79" si="22">N48+J72</f><v>0</v></c><c r="K79" s="186"><f t="shared" si="22"/><v>7358.4</v></c><c r="L79" s="186"><f t="shared" si="22"/><v>3927.3434436507432</v></c><c r="M79" s="186"><f t="shared" si="22"/><v>11000</v></c><c r="N79" s="186"><f t="shared" si="22"/><v>0</v></c><c r="O79" s="186"><f t="shared" si="22"/><v>0</v></c><c r="P79" s="186"><f>P72</f><v>0</v></c><c r="Q79" s="186"><f>Q72</f><v>0</v></c><c r="R79" s="53"><f>SUM(J79:Q79)</f><v>22285.743443650743</v></c><c r="S79" s="186"><f>Y62</f><v>0</v></c><c r="T79" s="186"><f>Z62</f><v>0</v></c><c r="U79" s="186"><f>$C$49+$C$50+$C$51</f><v>0</v></c><c r="V79" s="53"><f>S79-T79-U79</f><v>0</v></c><c r="W79" s="186"><f>$D$49+$D$50+$D$51</f><v>0</v></c><c r="X79" s="186"><f>$E$49+$E$50+$E$51</f><v>0</v></c><c r="Y79" s="53"><f>I79+R79+V79-W79-X79</f><v>209437.57026421928</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75" t="str"><f>Translation!A121</f><v>SECTOR DE PRODUÇÃO</v></c><c r="C83" s="303" t="str"><f>Translation!A143</f><v>FONTE DE ENERGIA PRIMÁRIA</v></c><c r="D83" s="304"/><c r="E83" s="304"/><c r="F83" s="304"/><c r="G83" s="304"/><c r="H83" s="304"/><c r="I83" s="304"/><c r="J83" s="304"/><c r="K83" s="304"/><c r="L83" s="304"/><c r="M83" s="304"/><c r="N83" s="304"/><c r="O83" s="304"/><c r="P83" s="304"/><c r="Q83" s="304"/><c r="R83" s="304"/><c r="S83" s="305"/><c r="T83" s="68"/><c r="V83" s="57"/><c r="W83" s="57"/><c r="X83" s="68"/><c r="Y83" s="57"/><c r="Z83" s="57"/><c r="AA83" s="57"/><c r="AB83" s="57"/><c r="AC83" s="57"/><c r="AD83" s="57"/><c r="AE83" s="57"/><c r="AF83" s="57"/></row><row r="84" spans="1:32" s="51" customFormat="1" ht="15" customHeight="1" x14ac:dyDescent="0.25"><c r="B84" s="276"/><c r="C84" s="303" t="str"><f>Translation!A99</f><v>Combustíveis fósseis</v></c><c r="D84" s="304"/><c r="E84" s="304"/><c r="F84" s="304"/><c r="G84" s="304"/><c r="H84" s="304"/><c r="I84" s="305"/><c r="J84" s="303" t="str"><f>Translation!A108</f><v>Fontes energéticas renováveis</v></c><c r="K84" s="304"/><c r="L84" s="304"/><c r="M84" s="304"/><c r="N84" s="304"/><c r="O84" s="304"/><c r="P84" s="304"/><c r="Q84" s="304"/><c r="R84" s="305"/><c r="S84" s="302"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2"/><c r="T85" s="68"/><c r="V85" s="57"/><c r="W85" s="57"/><c r="X85" s="68"/><c r="Y85" s="57"/><c r="Z85" s="57"/><c r="AA85" s="57"/><c r="AB85" s="57"/><c r="AC85" s="57"/><c r="AD85" s="57"/><c r="AE85" s="57"/><c r="AF85" s="57"/></row><row r="86" spans="1:32" s="51" customFormat="1" ht="15.75" x14ac:dyDescent="0.25"><c r="B86" s="184" t="str"><f>Translation!A124</f><v>Electricidade</v></c><c r="C86" s="188"><f t="shared" ref="C86:P86" si="23">IF(C69&gt;0,C59/C69,"-")</f><v>0.42750000000000005</v></c><c r="D86" s="188"><f t="shared" si="23"/><v>0.42750000000000005</v></c><c r="E86" s="188" t="str"><f t="shared" si="23"/><v>-</v></c><c r="F86" s="188" t="str"><f t="shared" si="23"/><v>-</v></c><c r="G86" s="188" t="str"><f t="shared" si="23"/><v>-</v></c><c r="H86" s="188" t="str"><f t="shared" si="23"/><v>-</v></c><c r="I86" s="67"><f t="shared" si="23"/><v>0.42750000000000005</v></c><c r="J86" s="188" t="str"><f t="shared" si="23"/><v>-</v></c><c r="K86" s="188"><f t="shared" si="23"/><v>1</v></c><c r="L86" s="188"><f t="shared" si="23"/><v>1</v></c><c r="M86" s="188"><f t="shared" si="23"/><v>1</v></c><c r="N86" s="188" t="str"><f t="shared" si="23"/><v>-</v></c><c r="O86" s="188" t="str"><f t="shared" si="23"/><v>-</v></c><c r="P86" s="188" t="str"><f t="shared" si="23"/><v>-</v></c><c r="Q86" s="188" t="s"><v>522</v></c><c r="R86" s="67"><f t="shared" ref="R86:S88" si="24">IF(R69&gt;0,R59/R69,"-")</f><v>1</v></c><c r="S86" s="67"><f t="shared" si="24"/><v>0.5599556371154395</v></c><c r="T86" s="58"/><c r="V86" s="57"/><c r="W86" s="57"/><c r="X86" s="58"/><c r="Y86" s="57"/><c r="Z86" s="57"/><c r="AA86" s="57"/><c r="AB86" s="57"/><c r="AC86" s="57"/><c r="AD86" s="57"/><c r="AE86" s="57"/><c r="AF86" s="57"/></row><row r="87" spans="1:32" s="51" customFormat="1" ht="15.75" x14ac:dyDescent="0.25"><c r="B87" s="184" t="str"><f>Translation!A125</f><v>Calor</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 t="str"><f t="shared" si="25"/><v>-</v></c><c r="M87" s="188" t="str"><f t="shared" si="25"/><v>-</v></c><c r="N87" s="188" t="str"><f t="shared" si="25"/><v>-</v></c><c r="O87" s="188" t="str"><f t="shared" si="25"/><v>-</v></c><c r="P87" s="188" t="str"><f t="shared" si="25"/><v>-</v></c><c r="Q87" s="188" t="s"><v>522</v></c><c r="R87" s="67" t="str"><f t="shared" si="24"/><v>-</v></c><c r="S87" s="67" t="str"><f t="shared" si="24"/><v>-</v></c><c r="T87" s="58"/><c r="V87" s="57"/><c r="W87" s="57"/><c r="X87" s="58"/><c r="Y87" s="57"/><c r="Z87" s="57"/><c r="AA87" s="57"/><c r="AB87" s="57"/><c r="AC87" s="57"/><c r="AD87" s="57"/><c r="AE87" s="57"/><c r="AF87" s="57"/></row><row r="88" spans="1:32" s="51" customFormat="1" ht="15.75" x14ac:dyDescent="0.25"><c r="B88" s="184" t="str"><f>Translation!A126</f><v>Frio</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06" t="str"><f>Translation!A56</f><v>SECTOR DE PROCURA</v></c><c r="C92" s="280" t="str"><f>Translation!A94</f><v>ENERGIA PARA CONSUMO FINAL</v></c><c r="D92" s="281"/><c r="E92" s="281"/><c r="F92" s="281"/><c r="G92" s="281"/><c r="H92" s="281"/><c r="I92" s="281"/><c r="J92" s="281"/><c r="K92" s="281"/><c r="L92" s="281"/><c r="M92" s="281"/><c r="N92" s="281"/><c r="O92" s="281"/><c r="P92" s="281"/><c r="Q92" s="281"/><c r="R92" s="281"/><c r="S92" s="281"/><c r="T92" s="281"/><c r="U92" s="282"/></row><row r="93" spans="1:32" s="51" customFormat="1" ht="18" customHeight="1" x14ac:dyDescent="0.25"><c r="B93" s="307"/><c r="C93" s="280" t="str"><f>Translation!A95</f><v>Serviços energéticos centralizados</v></c><c r="D93" s="281"/><c r="E93" s="281"/><c r="F93" s="282"/><c r="G93" s="280" t="str"><f>Translation!A99</f><v>Combustíveis fósseis</v></c><c r="H93" s="281"/><c r="I93" s="281"/><c r="J93" s="281"/><c r="K93" s="281"/><c r="L93" s="281"/><c r="M93" s="282"/><c r="N93" s="280" t="str"><f>Translation!A106</f><v>Fontes energéticas renováveis (excluindo electricidade e calor para venda a redes públicas)</v></c><c r="O93" s="281"/><c r="P93" s="281"/><c r="Q93" s="281"/><c r="R93" s="281"/><c r="S93" s="281"/><c r="T93" s="282"/><c r="U93" s="289"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91"/></row><row r="95" spans="1:32" s="21" customFormat="1" ht="15.75" x14ac:dyDescent="0.25"><c r="A95" s="22"/><c r="B95" s="66" t="str"><f>Translation!A60</f><v>RESIDENCIAL</v></c><c r="C95" s="64"><f>SUM(C96:C104)</f><v>6553.9156474598458</v></c><c r="D95" s="64"><f>SUM(D96:D104)</f><v>0</v></c><c r="E95" s="64"><f>SUM(E96:E104)</f><v>0</v></c><c r="F95" s="64"><f t="shared" ref="F95:F126" si="27">SUM(C95:E95)</f><v>6553.9156474598458</v></c><c r="G95" s="64"><f t="shared" ref="G95:L95" si="28">SUM(G96:G104)</f><v>0</v></c><c r="H95" s="64"><f t="shared" si="28"/><v>0</v></c><c r="I95" s="64"><f t="shared" si="28"/><v>0</v></c><c r="J95" s="64"><f t="shared" si="28"/><v>3468.1317463687183</v></c><c r="K95" s="64"><f t="shared" si="28"/><v>0</v></c><c r="L95" s="64"><f t="shared" si="28"/><v>0</v></c><c r="M95" s="64"><f t="shared" ref="M95:M126" si="29">SUM(G95:L95)</f><v>3468.1317463687183</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10022.047393828565</v></c></row><row r="96" spans="1:32" s="21" customFormat="1" ht="15.75" x14ac:dyDescent="0.25"><c r="A96" s="22"/><c r="B96" s="182" t="str"><f>Translation!A61</f><v>Água quente</v></c><c r="C96" s="185"><f t="shared" ref="C96:C104" si="33">IF(AND(C$48&gt;0,($S$133+$V$143)&gt;0), ($S$133+$V$143)/C$48,0)*C18</f><v>6863.1417272338194</v></c><c r="D96" s="185"><f t="shared" ref="D96:D104" si="34">IF(AND(D$48&gt;0,$S$134&gt;0), ($S$134)/D$48,0)*D18</f><v>0</v></c><c r="E96" s="185"><f t="shared" ref="E96:E104" si="35">IF(AND(E$48&gt;0,$S$135&gt;0), ($S$135)/E$48,0)*E18</f><v>0</v></c><c r="F96" s="64"><f t="shared" si="27"/><v>6863.1417272338194</v></c><c r="G96" s="185"><f>'CO2 factors'!C$7*G18</f><v>0</v></c><c r="H96" s="185"><f>'CO2 factors'!D$7*H18</f><v>0</v></c><c r="I96" s="185"><f>'CO2 factors'!E$7*I18</f><v>0</v></c><c r="J96" s="185"><f>'CO2 factors'!F$7*J18</f><v>3468.1317463687183</v></c><c r="K96" s="185"><f>'CO2 factors'!G$7*K18</f><v>0</v></c><c r="L96" s="185"><f>'CO2 factors'!H$7*L18</f><v>0</v></c><c r="M96" s="64"><f t="shared" si="29"/><v>3468.1317463687183</v></c><c r="N96" s="185"><f>'CO2 factors'!J$7*N18</f><v>0</v></c><c r="O96" s="185"><f>'CO2 factors'!K$7*O18</f><v>0</v></c><c r="P96" s="185"><f>'CO2 factors'!L$7*P18</f><v>0</v></c><c r="Q96" s="185"><f>'CO2 factors'!M$7*Q18</f><v>0</v></c><c r="R96" s="185"><f>'CO2 factors'!N$7*R18</f><v>0</v></c><c r="S96" s="185"><f>'CO2 factors'!O$7*S18</f><v>0</v></c><c r="T96" s="64"><f t="shared" si="31"/><v>0</v></c><c r="U96" s="64"><f t="shared" si="32"/><v>10331.273473602538</v></c></row><row r="97" spans="1:21" s="21" customFormat="1" ht="15.75" x14ac:dyDescent="0.25"><c r="A97" s="22"/><c r="B97" s="182" t="str"><f>Translation!A62</f><v>Aquecimento e arrefecimento</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Iluminação</v></c><c r="C98" s="185"><f t="shared" si="33"/><v>-154.58977931230828</v></c><c r="D98" s="185"><f t="shared" si="34"/><v>0</v></c><c r="E98" s="185"><f t="shared" si="35"/><v>0</v></c><c r="F98" s="64"><f t="shared" si="27"/><v>-154.58977931230828</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-154.58977931230828</v></c></row><row r="99" spans="1:21" s="21" customFormat="1" ht="15.75" x14ac:dyDescent="0.25"><c r="A99" s="22"/><c r="B99" s="182" t="str"><f>Translation!A64</f><v>Cozinha</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Frigoríficos e congeladores</v></c><c r="C100" s="185"><f t="shared" si="33"/><v>-154.63630046166497</v></c><c r="D100" s="185"><f t="shared" si="34"/><v>0</v></c><c r="E100" s="185"><f t="shared" si="35"/><v>0</v></c><c r="F100" s="64"><f t="shared" si="27"/><v>-154.63630046166497</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-154.63630046166497</v></c></row><row r="101" spans="1:21" s="21" customFormat="1" ht="15.75" x14ac:dyDescent="0.25"><c r="A101" s="22"/><c r="B101" s="182" t="str"><f>Translation!A66</f><v>Máquinas de lavar e secar roupa</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Máquinas de lavar louça</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Televisores</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Outros aparelhos eléctricos</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SECTOR PRIMÁRIO</v></c><c r="C105" s="64"><f>SUM(C106:C107)</f><v>410.4749198286213</v></c><c r="D105" s="64"><f>SUM(D106:D107)</f><v>0</v></c><c r="E105" s="64"><f>SUM(E106:E107)</f><v>0</v></c><c r="F105" s="64"><f t="shared" si="27"/><v>410.4749198286213</v></c><c r="G105" s="64"><f t="shared" ref="G105:L105" si="36">SUM(G106:G107)</f><v>0</v></c><c r="H105" s="64"><f t="shared" si="36"/><v>8499.3959244239322</v></c><c r="I105" s="64"><f t="shared" si="36"/><v>0</v></c><c r="J105" s="64"><f t="shared" si="36"/><v>0</v></c><c r="K105" s="64"><f t="shared" si="36"/><v>0</v></c><c r="L105" s="64"><f t="shared" si="36"/><v>0</v></c><c r="M105" s="64"><f t="shared" si="29"/><v>8499.3959244239322</v></c><c r="N105" s="64"><f t="shared" ref="N105:S105" si="37">SUM(N106:N107)</f><v>0</v></c><c r="O105" s="64"><f t="shared" si="37"/><v>0</v></c><c r="P105" s="64"><f t="shared" si="37"/><v>0</v></c><c r="Q105" s="64"><f t="shared" si="37"/><v>0</v></c><c r="R105" s="64"><f t="shared" si="37"/><v>0</v></c><c r="S105" s="64"><f t="shared" si="37"/><v>0</v></c><c r="T105" s="64"><f t="shared" si="31"/><v>0</v></c><c r="U105" s="64"><f t="shared" si="32"/><v>8909.8708442525531</v></c></row><row r="106" spans="1:21" s="21" customFormat="1" ht="15.75" x14ac:dyDescent="0.25"><c r="A106" s="22"/><c r="B106" s="183" t="str"><f>Translation!A71</f><v>Agricultura, produção animal, caça, floresta e pesca</v></c><c r="C106" s="185"><f>IF(AND(C$48&gt;0,($S$133+$V$143)&gt;0), ($S$133+$V$143)/C$48,0)*C28</f><v>410.4749198286213</v></c><c r="D106" s="185"><f>IF(AND(D$48&gt;0,$S$134&gt;0), ($S$134)/D$48,0)*D28</f><v>0</v></c><c r="E106" s="185"><f>IF(AND(E$48&gt;0,$S$135&gt;0), ($S$135)/E$48,0)*E28</f><v>0</v></c><c r="F106" s="64"><f t="shared" si="27"/><v>410.4749198286213</v></c><c r="G106" s="185"><f>'CO2 factors'!C$7*G28</f><v>0</v></c><c r="H106" s="185"><f>'CO2 factors'!D$7*H28</f><v>8499.3959244239322</v></c><c r="I106" s="185"><f>'CO2 factors'!E$7*I28</f><v>0</v></c><c r="J106" s="185"><f>'CO2 factors'!F$7*J28</f><v>0</v></c><c r="K106" s="185"><f>'CO2 factors'!G$7*K28</f><v>0</v></c><c r="L106" s="185"><f>'CO2 factors'!H$7*L28</f><v>0</v></c><c r="M106" s="64"><f t="shared" si="29"/><v>8499.3959244239322</v></c><c r="N106" s="185"><f>'CO2 factors'!J$7*N28</f><v>0</v></c><c r="O106" s="185"><f>'CO2 factors'!K$7*O28</f><v>0</v></c><c r="P106" s="185"><f>'CO2 factors'!L$7*P28</f><v>0</v></c><c r="Q106" s="185"><f>'CO2 factors'!M$7*Q28</f><v>0</v></c><c r="R106" s="185"><f>'CO2 factors'!N$7*R28</f><v>0</v></c><c r="S106" s="185"><f>'CO2 factors'!O$7*S28</f><v>0</v></c><c r="T106" s="64"><f t="shared" si="31"/><v>0</v></c><c r="U106" s="64"><f t="shared" si="32"/><v>8909.8708442525531</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7"/><v>0</v></c><c r="G107" s="185"><f>'CO2 factors'!C$7*G29</f><v>0</v></c><c r="H107" s="185"><f>'CO2 factors'!D$7*H29</f><v>0</v></c><c r="I107" s="185"><f>'CO2 factors'!E$7*I29</f><v>0</v></c><c r="J107" s="185"><f>'CO2 factors'!F$7*J29</f><v>0</v></c><c r="K107" s="185"><f>'CO2 factors'!G$7*K29</f><v>0</v></c><c r="L107" s="185"><f>'CO2 factors'!H$7*L29</f><v>0</v></c><c r="M107" s="64"><f t="shared" si="29"/><v>0</v></c><c r="N107" s="185"><f>'CO2 factors'!J$7*N29</f><v>0</v></c><c r="O107" s="185"><f>'CO2 factors'!K$7*O29</f><v>0</v></c><c r="P107" s="185"><f>'CO2 factors'!L$7*P29</f><v>0</v></c><c r="Q107" s="185"><f>'CO2 factors'!M$7*Q29</f><v>0</v></c><c r="R107" s="185"><f>'CO2 factors'!N$7*R29</f><v>0</v></c><c r="S107" s="185"><f>'CO2 factors'!O$7*S29</f><v>0</v></c><c r="T107" s="64"><f t="shared" si="31"/><v>0</v></c><c r="U107" s="64"><f t="shared" si="32"/><v>0</v></c></row><row r="108" spans="1:21" s="21" customFormat="1" ht="15.75" x14ac:dyDescent="0.25"><c r="A108" s="22"/><c r="B108" s="61" t="str"><f>Translation!A73</f><v>SECTOR SECUNDÁRIO</v></c><c r="C108" s="64"><f>SUM(C109:C111)</f><v>2410.3078229517155</v></c><c r="D108" s="64"><f>SUM(D109:D111)</f><v>0</v></c><c r="E108" s="64"><f>SUM(E109:E111)</f><v>0</v></c><c r="F108" s="64"><f t="shared" si="27"/><v>2410.3078229517155</v></c><c r="G108" s="64"><f t="shared" ref="G108:L108" si="38">SUM(G109:G111)</f><v>2031.4405357419307</v></c><c r="H108" s="64"><f t="shared" si="38"/><v>0</v></c><c r="I108" s="64"><f t="shared" si="38"/><v>0</v></c><c r="J108" s="64"><f t="shared" si="38"/><v>0</v></c><c r="K108" s="64"><f t="shared" si="38"/><v>0</v></c><c r="L108" s="64"><f t="shared" si="38"/><v>0</v></c><c r="M108" s="64"><f t="shared" si="29"/><v>2031.4405357419307</v></c><c r="N108" s="64"><f t="shared" ref="N108:S108" si="39">SUM(N109:N111)</f><v>0</v></c><c r="O108" s="64"><f t="shared" si="39"/><v>0</v></c><c r="P108" s="64"><f t="shared" si="39"/><v>0</v></c><c r="Q108" s="64"><f t="shared" si="39"/><v>0</v></c><c r="R108" s="64"><f t="shared" si="39"/><v>0</v></c><c r="S108" s="64"><f t="shared" si="39"/><v>0</v></c><c r="T108" s="64"><f t="shared" si="31"/><v>0</v></c><c r="U108" s="64"><f t="shared" si="32"/><v>4441.748358693646</v></c></row><row r="109" spans="1:21" s="21" customFormat="1" ht="15.75" x14ac:dyDescent="0.25"><c r="A109" s="22"/><c r="B109" s="183" t="str"><f>Translation!A74</f><v>Indústrias transformadoras</v></c><c r="C109" s="185"><f>IF(AND(C$48&gt;0,($S$133+$V$143)&gt;0), ($S$133+$V$143)/C$48,0)*C31</f><v>1915.4064577362558</v></c><c r="D109" s="185"><f>IF(AND(D$48&gt;0,$S$134&gt;0), ($S$134)/D$48,0)*D31</f><v>0</v></c><c r="E109" s="185"><f>IF(AND(E$48&gt;0,$S$135&gt;0), ($S$135)/E$48,0)*E31</f><v>0</v></c><c r="F109" s="64"><f t="shared" si="27"/><v>1915.4064577362558</v></c><c r="G109" s="185"><f>'CO2 factors'!C$7*G31</f><v>2031.4405357419307</v></c><c r="H109" s="185"><f>'CO2 factors'!D$7*H31</f><v>0</v></c><c r="I109" s="185"><f>'CO2 factors'!E$7*I31</f><v>0</v></c><c r="J109" s="185"><f>'CO2 factors'!F$7*J31</f><v>0</v></c><c r="K109" s="185"><f>'CO2 factors'!G$7*K31</f><v>0</v></c><c r="L109" s="185"><f>'CO2 factors'!H$7*L31</f><v>0</v></c><c r="M109" s="64"><f t="shared" si="29"/><v>2031.4405357419307</v></c><c r="N109" s="185"><f>'CO2 factors'!J$7*N31</f><v>0</v></c><c r="O109" s="185"><f>'CO2 factors'!K$7*O31</f><v>0</v></c><c r="P109" s="185"><f>'CO2 factors'!L$7*P31</f><v>0</v></c><c r="Q109" s="185"><f>'CO2 factors'!M$7*Q31</f><v>0</v></c><c r="R109" s="185"><f>'CO2 factors'!N$7*R31</f><v>0</v></c><c r="S109" s="185"><f>'CO2 factors'!O$7*S31</f><v>0</v></c><c r="T109" s="64"><f t="shared" si="31"/><v>0</v></c><c r="U109" s="64"><f t="shared" si="32"/><v>3946.8469934781865</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7"/><v>0</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0</v></c></row><row r="111" spans="1:21" s="21" customFormat="1" ht="15.75" x14ac:dyDescent="0.25"><c r="A111" s="22"/><c r="B111" s="183" t="str"><f>Translation!A76</f><v>Construção</v></c><c r="C111" s="185"><f>IF(AND(C$48&gt;0,($S$133+$V$143)&gt;0), ($S$133+$V$143)/C$48,0)*C33</f><v>494.90136521545952</v></c><c r="D111" s="185"><f>IF(AND(D$48&gt;0,$S$134&gt;0), ($S$134)/D$48,0)*D33</f><v>0</v></c><c r="E111" s="185"><f>IF(AND(E$48&gt;0,$S$135&gt;0), ($S$135)/E$48,0)*E33</f><v>0</v></c><c r="F111" s="64"><f t="shared" si="27"/><v>494.90136521545952</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494.90136521545952</v></c></row><row r="112" spans="1:21" s="21" customFormat="1" ht="15.75" x14ac:dyDescent="0.25"><c r="A112" s="22"/><c r="B112" s="61" t="str"><f>Translation!A77</f><v>SECTOR TERCIÁRIO</v></c><c r="C112" s="64"><f>SUM(C113:C120)</f><v>7561.3932422119487</v></c><c r="D112" s="64"><f>SUM(D113:D120)</f><v>0</v></c><c r="E112" s="64"><f>SUM(E113:E120)</f><v>0</v></c><c r="F112" s="64"><f t="shared" si="27"/><v>7561.3932422119487</v></c><c r="G112" s="64"><f t="shared" ref="G112:L112" si="40">SUM(G113:G120)</f><v>0</v></c><c r="H112" s="64"><f t="shared" si="40"/><v>0</v></c><c r="I112" s="64"><f t="shared" si="40"/><v>0</v></c><c r="J112" s="64"><f t="shared" si="40"/><v>0</v></c><c r="K112" s="64"><f t="shared" si="40"/><v>0</v></c><c r="L112" s="64"><f t="shared" si="40"/><v>0</v></c><c r="M112" s="64"><f t="shared" si="29"/><v>0</v></c><c r="N112" s="64"><f t="shared" ref="N112:S112" si="41">SUM(N113:N120)</f><v>0</v></c><c r="O112" s="64"><f t="shared" si="41"/><v>0</v></c><c r="P112" s="64"><f t="shared" si="41"/><v>0</v></c><c r="Q112" s="64"><f t="shared" si="41"/><v>0</v></c><c r="R112" s="64"><f t="shared" si="41"/><v>0</v></c><c r="S112" s="64"><f t="shared" si="41"/><v>0</v></c><c r="T112" s="64"><f t="shared" si="31"/><v>0</v></c><c r="U112" s="64"><f t="shared" si="32"/><v>7561.3932422119487</v></c></row><row r="113" spans="1:23" s="21" customFormat="1" ht="30" x14ac:dyDescent="0.25"><c r="A113" s="22"/><c r="B113" s="183" t="str"><f>Translation!A78</f><v>Comércio por grosso e a retalho; reparação de veículos automóveis e motociclos</v></c><c r="C113" s="185"><f t="shared" ref="C113:C120" si="42">IF(AND(C$48&gt;0,($S$133+$V$143)&gt;0), ($S$133+$V$143)/C$48,0)*C35</f><v>2062.1931241560847</v></c><c r="D113" s="185"><f t="shared" ref="D113:D120" si="43">IF(AND(D$48&gt;0,$S$134&gt;0), ($S$134)/D$48,0)*D35</f><v>0</v></c><c r="E113" s="185"><f t="shared" ref="E113:E120" si="44">IF(AND(E$48&gt;0,$S$135&gt;0), ($S$135)/E$48,0)*E35</f><v>0</v></c><c r="F113" s="64"><f t="shared" si="27"/><v>2062.1931241560847</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2062.1931241560847</v></c></row><row r="114" spans="1:23" s="21" customFormat="1" ht="15.75" x14ac:dyDescent="0.25"><c r="A114" s="22"/><c r="B114" s="183" t="str"><f>Translation!A79</f><v>Alojamento, restauração e similares</v></c><c r="C114" s="185"><f t="shared" si="42"/><v>595.30632220120822</v></c><c r="D114" s="185"><f t="shared" si="43"/><v>0</v></c><c r="E114" s="185"><f t="shared" si="44"/><v>0</v></c><c r="F114" s="64"><f t="shared" si="27"/><v>595.30632220120822</v></c><c r="G114" s="185"><f>'CO2 factors'!C$7*G36</f><v>0</v></c><c r="H114" s="185"><f>'CO2 factors'!D$7*H36</f><v>0</v></c><c r="I114" s="185"><f>'CO2 factors'!E$7*I36</f><v>0</v></c><c r="J114" s="185"><f>'CO2 factors'!F$7*J36</f><v>0</v></c><c r="K114" s="185"><f>'CO2 factors'!G$7*K36</f><v>0</v></c><c r="L114" s="185"><f>'CO2 factors'!H$7*L36</f><v>0</v></c><c r="M114" s="64"><f t="shared" si="29"/><v>0</v></c><c r="N114" s="185"><f>'CO2 factors'!J$7*N36</f><v>0</v></c><c r="O114" s="185"><f>'CO2 factors'!K$7*O36</f><v>0</v></c><c r="P114" s="185"><f>'CO2 factors'!L$7*P36</f><v>0</v></c><c r="Q114" s="185"><f>'CO2 factors'!M$7*Q36</f><v>0</v></c><c r="R114" s="185"><f>'CO2 factors'!N$7*R36</f><v>0</v></c><c r="S114" s="185"><f>'CO2 factors'!O$7*S36</f><v>0</v></c><c r="T114" s="64"><f t="shared" si="31"/><v>0</v></c><c r="U114" s="64"><f t="shared" si="32"/><v>595.30632220120822</v></c></row><row r="115" spans="1:23" s="21" customFormat="1" ht="15.75" x14ac:dyDescent="0.25"><c r="A115" s="22"/><c r="B115" s="183" t="str"><f>Translation!A80</f><v>Administração pública e segurança social</v></c><c r="C115" s="185"><f t="shared" si="42"/><v>1876.8724864203473</v></c><c r="D115" s="185"><f t="shared" si="43"/><v>0</v></c><c r="E115" s="185"><f t="shared" si="44"/><v>0</v></c><c r="F115" s="64"><f t="shared" si="27"/><v>1876.8724864203473</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1876.8724864203473</v></c></row><row r="116" spans="1:23" s="21" customFormat="1" ht="15.75" x14ac:dyDescent="0.25"><c r="A116" s="22"/><c r="B116" s="183" t="str"><f>Translation!A81</f><v>Defesa, justiça, polícia e bombeiros</v></c><c r="C116" s="185"><f t="shared" si="42"/><v>98.206254347981044</v></c><c r="D116" s="185"><f t="shared" si="43"/><v>0</v></c><c r="E116" s="185"><f t="shared" si="44"/><v>0</v></c><c r="F116" s="64"><f t="shared" si="27"/><v>98.206254347981044</v></c><c r="G116" s="185"><f>'CO2 factors'!C$7*G38</f><v>0</v></c><c r="H116" s="185"><f>'CO2 factors'!D$7*H38</f><v>0</v></c><c r="I116" s="185"><f>'CO2 factors'!E$7*I38</f><v>0</v></c><c r="J116" s="185"><f>'CO2 factors'!F$7*J38</f><v>0</v></c><c r="K116" s="185"><f>'CO2 factors'!G$7*K38</f><v>0</v></c><c r="L116" s="185"><f>'CO2 factors'!H$7*L38</f><v>0</v></c><c r="M116" s="64"><f t="shared" si="29"/><v>0</v></c><c r="N116" s="185"><f>'CO2 factors'!J$7*N38</f><v>0</v></c><c r="O116" s="185"><f>'CO2 factors'!K$7*O38</f><v>0</v></c><c r="P116" s="185"><f>'CO2 factors'!L$7*P38</f><v>0</v></c><c r="Q116" s="185"><f>'CO2 factors'!M$7*Q38</f><v>0</v></c><c r="R116" s="185"><f>'CO2 factors'!N$7*R38</f><v>0</v></c><c r="S116" s="185"><f>'CO2 factors'!O$7*S38</f><v>0</v></c><c r="T116" s="64"><f t="shared" si="31"/><v>0</v></c><c r="U116" s="64"><f t="shared" si="32"/><v>98.206254347981044</v></c></row><row r="117" spans="1:23" s="21" customFormat="1" ht="15.75" x14ac:dyDescent="0.25"><c r="A117" s="22"/><c r="B117" s="183" t="str"><f>Translation!A82</f><v>Educação</v></c><c r="C117" s="185"><f t="shared" si="42"/><v>277.78699210743571</v></c><c r="D117" s="185"><f t="shared" si="43"/><v>0</v></c><c r="E117" s="185"><f t="shared" si="44"/><v>0</v></c><c r="F117" s="64"><f t="shared" si="27"/><v>277.78699210743571</v></c><c r="G117" s="185"><f>'CO2 factors'!C$7*G39</f><v>0</v></c><c r="H117" s="185"><f>'CO2 factors'!D$7*H39</f><v>0</v></c><c r="I117" s="185"><f>'CO2 factors'!E$7*I39</f><v>0</v></c><c r="J117" s="185"><f>'CO2 factors'!F$7*J39</f><v>0</v></c><c r="K117" s="185"><f>'CO2 factors'!G$7*K39</f><v>0</v></c><c r="L117" s="185"><f>'CO2 factors'!H$7*L39</f><v>0</v></c><c r="M117" s="64"><f t="shared" si="29"/><v>0</v></c><c r="N117" s="185"><f>'CO2 factors'!J$7*N39</f><v>0</v></c><c r="O117" s="185"><f>'CO2 factors'!K$7*O39</f><v>0</v></c><c r="P117" s="185"><f>'CO2 factors'!L$7*P39</f><v>0</v></c><c r="Q117" s="185"><f>'CO2 factors'!M$7*Q39</f><v>0</v></c><c r="R117" s="185"><f>'CO2 factors'!N$7*R39</f><v>0</v></c><c r="S117" s="185"><f>'CO2 factors'!O$7*S39</f><v>0</v></c><c r="T117" s="64"><f t="shared" si="31"/><v>0</v></c><c r="U117" s="64"><f t="shared" si="32"/><v>277.78699210743571</v></c></row><row r="118" spans="1:23" s="21" customFormat="1" ht="15.75" x14ac:dyDescent="0.25"><c r="A118" s="22"/><c r="B118" s="183" t="str"><f>Translation!A83</f><v>Actividades de saúde humana e apoio social</v></c><c r="C118" s="185"><f t="shared" si="42"/><v>402.50530334075717</v></c><c r="D118" s="185"><f t="shared" si="43"/><v>0</v></c><c r="E118" s="185"><f t="shared" si="44"/><v>0</v></c><c r="F118" s="64"><f t="shared" si="27"/><v>402.50530334075717</v></c><c r="G118" s="185"><f>'CO2 factors'!C$7*G40</f><v>0</v></c><c r="H118" s="185"><f>'CO2 factors'!D$7*H40</f><v>0</v></c><c r="I118" s="185"><f>'CO2 factors'!E$7*I40</f><v>0</v></c><c r="J118" s="185"><f>'CO2 factors'!F$7*J40</f><v>0</v></c><c r="K118" s="185"><f>'CO2 factors'!G$7*K40</f><v>0</v></c><c r="L118" s="185"><f>'CO2 factors'!H$7*L40</f><v>0</v></c><c r="M118" s="64"><f t="shared" si="29"/><v>0</v></c><c r="N118" s="185"><f>'CO2 factors'!J$7*N40</f><v>0</v></c><c r="O118" s="185"><f>'CO2 factors'!K$7*O40</f><v>0</v></c><c r="P118" s="185"><f>'CO2 factors'!L$7*P40</f><v>0</v></c><c r="Q118" s="185"><f>'CO2 factors'!M$7*Q40</f><v>0</v></c><c r="R118" s="185"><f>'CO2 factors'!N$7*R40</f><v>0</v></c><c r="S118" s="185"><f>'CO2 factors'!O$7*S40</f><v>0</v></c><c r="T118" s="64"><f t="shared" si="31"/><v>0</v></c><c r="U118" s="64"><f t="shared" si="32"/><v>402.50530334075717</v></c></row><row r="119" spans="1:23" s="21" customFormat="1" ht="15.75" x14ac:dyDescent="0.25"><c r="A119" s="22"/><c r="B119" s="183" t="str"><f>Translation!A84</f><v>Outros serviços</v></c><c r="C119" s="185"><f t="shared" si="42"/><v>1321.3092576003855</v></c><c r="D119" s="185"><f t="shared" si="43"/><v>0</v></c><c r="E119" s="185"><f t="shared" si="44"/><v>0</v></c><c r="F119" s="64"><f t="shared" si="27"/><v>1321.3092576003855</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1321.3092576003855</v></c></row><row r="120" spans="1:23" s="21" customFormat="1" ht="15.75" x14ac:dyDescent="0.25"><c r="A120" s="22"/><c r="B120" s="183" t="str"><f>Translation!A85</f><v>Iluminação pública</v></c><c r="C120" s="185"><f t="shared" si="42"/><v>927.21350203774944</v></c><c r="D120" s="185"><f t="shared" si="43"/><v>0</v></c><c r="E120" s="185"><f t="shared" si="44"/><v>0</v></c><c r="F120" s="64"><f t="shared" si="27"/><v>927.21350203774944</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927.21350203774944</v></c></row><row r="121" spans="1:23" s="21" customFormat="1" ht="15.75" x14ac:dyDescent="0.25"><c r="A121" s="22"/><c r="B121" s="61" t="str"><f>Translation!A86</f><v>TRANSPORTES</v></c><c r="C121" s="64"><f>SUM(C122:C125)</f><v>1298.116051381912</v></c><c r="D121" s="64"><f>SUM(D122:D125)</f><v>0</v></c><c r="E121" s="64"><f>SUM(E122:E125)</f><v>0</v></c><c r="F121" s="64"><f t="shared" si="27"/><v>1298.116051381912</v></c><c r="G121" s="64"><f t="shared" ref="G121:L121" si="45">SUM(G122:G125)</f><v>0</v></c><c r="H121" s="64"><f t="shared" si="45"/><v>14159.180111087435</v></c><c r="I121" s="64"><f t="shared" si="45"/><v>3785.0152954260875</v></c><c r="J121" s="64"><f t="shared" si="45"/><v>0</v></c><c r="K121" s="64"><f t="shared" si="45"/><v>0</v></c><c r="L121" s="64"><f t="shared" si="45"/><v>0</v></c><c r="M121" s="64"><f t="shared" si="29"/><v>17944.195406513521</v></c><c r="N121" s="64"><f t="shared" ref="N121:S121" si="46">SUM(N122:N125)</f><v>0</v></c><c r="O121" s="64"><f t="shared" si="46"/><v>0</v></c><c r="P121" s="64"><f t="shared" si="46"/><v>0</v></c><c r="Q121" s="64"><f t="shared" si="46"/><v>0</v></c><c r="R121" s="64"><f t="shared" si="46"/><v>0</v></c><c r="S121" s="64"><f t="shared" si="46"/><v>0</v></c><c r="T121" s="64"><f t="shared" si="31"/><v>0</v></c><c r="U121" s="64"><f t="shared" si="32"/><v>19242.311457895434</v></c></row><row r="122" spans="1:23" s="21" customFormat="1" ht="30" x14ac:dyDescent="0.25"><c r="A122" s="22"/><c r="B122" s="183" t="str"><f>Translation!A87</f><v>Transporte de passageiros por estrada (transportes públicos, táxis, turismo, transporte escolar, etc.)</v></c><c r="C122" s="185"><f>IF(AND(C$48&gt;0,($S$133+$V$143)&gt;0), ($S$133+$V$143)/C$48,0)*C44</f><v>1271.5226683694452</v></c><c r="D122" s="185"><f>IF(AND(D$48&gt;0,$S$134&gt;0), ($S$134)/D$48,0)*D44</f><v>0</v></c><c r="E122" s="185"><f>IF(AND(E$48&gt;0,$S$135&gt;0), ($S$135)/E$48,0)*E44</f><v>0</v></c><c r="F122" s="64"><f t="shared" si="27"/><v>1271.5226683694452</v></c><c r="G122" s="185"><f>'CO2 factors'!C$7*G44</f><v>0</v></c><c r="H122" s="185"><f>'CO2 factors'!D$7*H44</f><v>14159.180111087435</v></c><c r="I122" s="185"><f>'CO2 factors'!E$7*I44</f><v>3785.0152954260875</v></c><c r="J122" s="185"><f>'CO2 factors'!F$7*J44</f><v>0</v></c><c r="K122" s="185"><f>'CO2 factors'!G$7*K44</f><v>0</v></c><c r="L122" s="185"><f>'CO2 factors'!H$7*L44</f><v>0</v></c><c r="M122" s="64"><f t="shared" si="29"/><v>17944.195406513521</v></c><c r="N122" s="185"><f>'CO2 factors'!J$7*N44</f><v>0</v></c><c r="O122" s="185"><f>'CO2 factors'!K$7*O44</f><v>0</v></c><c r="P122" s="185"><f>'CO2 factors'!L$7*P44</f><v>0</v></c><c r="Q122" s="185"><f>'CO2 factors'!M$7*Q44</f><v>0</v></c><c r="R122" s="185"><f>'CO2 factors'!N$7*R44</f><v>0</v></c><c r="S122" s="185"><f>'CO2 factors'!O$7*S44</f><v>0</v></c><c r="T122" s="64"><f t="shared" si="31"/><v>0</v></c><c r="U122" s="64"><f t="shared" si="32"/><v>19215.718074882967</v></c></row><row r="123" spans="1:23" s="21" customFormat="1" ht="30" x14ac:dyDescent="0.25"><c r="A123" s="22"/><c r="B123" s="183" t="str"><f>Translation!A88</f><v>Transporte de mercadorias por estrada e serviços de mudanças</v></c><c r="C123" s="185"><f>IF(AND(C$48&gt;0,($S$133+$V$143)&gt;0), ($S$133+$V$143)/C$48,0)*C45</f><v>10.358420572574909</v></c><c r="D123" s="185"><f>IF(AND(D$48&gt;0,$S$134&gt;0), ($S$134)/D$48,0)*D45</f><v>0</v></c><c r="E123" s="185"><f>IF(AND(E$48&gt;0,$S$135&gt;0), ($S$135)/E$48,0)*E45</f><v>0</v></c><c r="F123" s="64"><f t="shared" si="27"/><v>10.358420572574909</v></c><c r="G123" s="185"><f>'CO2 factors'!C$7*G45</f><v>0</v></c><c r="H123" s="185"><f>'CO2 factors'!D$7*H45</f><v>0</v></c><c r="I123" s="185"><f>'CO2 factors'!E$7*I45</f><v>0</v></c><c r="J123" s="185"><f>'CO2 factors'!F$7*J45</f><v>0</v></c><c r="K123" s="185"><f>'CO2 factors'!G$7*K45</f><v>0</v></c><c r="L123" s="185"><f>'CO2 factors'!H$7*L45</f><v>0</v></c><c r="M123" s="64"><f t="shared" si="29"/><v>0</v></c><c r="N123" s="185"><f>'CO2 factors'!J$7*N45</f><v>0</v></c><c r="O123" s="185"><f>'CO2 factors'!K$7*O45</f><v>0</v></c><c r="P123" s="185"><f>'CO2 factors'!L$7*P45</f><v>0</v></c><c r="Q123" s="185"><f>'CO2 factors'!M$7*Q45</f><v>0</v></c><c r="R123" s="185"><f>'CO2 factors'!N$7*R45</f><v>0</v></c><c r="S123" s="185"><f>'CO2 factors'!O$7*S45</f><v>0</v></c><c r="T123" s="64"><f t="shared" si="31"/><v>0</v></c><c r="U123" s="64"><f t="shared" si="32"/><v>10.358420572574909</v></c></row><row r="124" spans="1:23" s="21" customFormat="1" ht="15.75" x14ac:dyDescent="0.25"><c r="A124" s="22"/><c r="B124" s="183" t="str"><f>Translation!A89</f><v>Outras frotas de serviços públicos e privados</v></c><c r="C124" s="185"><f>IF(AND(C$48&gt;0,($S$133+$V$143)&gt;0), ($S$133+$V$143)/C$48,0)*C46</f><v>2.3108981843827245</v></c><c r="D124" s="185"><f>IF(AND(D$48&gt;0,$S$134&gt;0), ($S$134)/D$48,0)*D46</f><v>0</v></c><c r="E124" s="185"><f>IF(AND(E$48&gt;0,$S$135&gt;0), ($S$135)/E$48,0)*E46</f><v>0</v></c><c r="F124" s="64"><f t="shared" si="27"/><v>2.3108981843827245</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2.3108981843827245</v></c></row><row r="125" spans="1:23" s="21" customFormat="1" ht="15.75" x14ac:dyDescent="0.25"><c r="A125" s="22"/><c r="B125" s="182" t="str"><f>Translation!A90</f><v>Transporte particular</v></c><c r="C125" s="185"><f>IF(AND(C$48&gt;0,($S$133+$V$143)&gt;0), ($S$133+$V$143)/C$48,0)*C47</f><v>13.92406425550919</v></c><c r="D125" s="185"><f>IF(AND(D$48&gt;0,$S$134&gt;0), ($S$134)/D$48,0)*D47</f><v>0</v></c><c r="E125" s="185"><f>IF(AND(E$48&gt;0,$S$135&gt;0), ($S$135)/E$48,0)*E47</f><v>0</v></c><c r="F125" s="64"><f t="shared" si="27"/><v>13.92406425550919</v></c><c r="G125" s="185"><f>'CO2 factors'!C$7*G47</f><v>0</v></c><c r="H125" s="185"><f>'CO2 factors'!D$7*H47</f><v>0</v></c><c r="I125" s="185"><f>'CO2 factors'!E$7*I47</f><v>0</v></c><c r="J125" s="185"><f>'CO2 factors'!F$7*J47</f><v>0</v></c><c r="K125" s="185"><f>'CO2 factors'!G$7*K47</f><v>0</v></c><c r="L125" s="185"><f>'CO2 factors'!H$7*L47</f><v>0</v></c><c r="M125" s="64"><f t="shared" si="29"/><v>0</v></c><c r="N125" s="185"><f>'CO2 factors'!J$7*N47</f><v>0</v></c><c r="O125" s="185"><f>'CO2 factors'!K$7*O47</f><v>0</v></c><c r="P125" s="185"><f>'CO2 factors'!L$7*P47</f><v>0</v></c><c r="Q125" s="185"><f>'CO2 factors'!M$7*Q47</f><v>0</v></c><c r="R125" s="185"><f>'CO2 factors'!N$7*R47</f><v>0</v></c><c r="S125" s="185"><f>'CO2 factors'!O$7*S47</f><v>0</v></c><c r="T125" s="64"><f t="shared" si="31"/><v>0</v></c><c r="U125" s="64"><f t="shared" si="32"/><v>13.92406425550919</v></c></row><row r="126" spans="1:23" s="21" customFormat="1" ht="15.75" x14ac:dyDescent="0.25"><c r="A126" s="22"/><c r="B126" s="73" t="str"><f>Translation!A118</f><v>TOTAL PARA MERCADO INTERNO</v></c><c r="C126" s="65"><f>C95+C105+C108+C112+C121</f><v>18234.207683834044</v></c><c r="D126" s="65"><f>D95+D105+D108+D112+D121</f><v>0</v></c><c r="E126" s="65"><f>E95+E105+E108+E112+E121</f><v>0</v></c><c r="F126" s="64"><f t="shared" si="27"/><v>18234.207683834044</v></c><c r="G126" s="65"><f t="shared" ref="G126:L126" si="47">G95+G105+G108+G112+G121</f><v>2031.4405357419307</v></c><c r="H126" s="65"><f t="shared" si="47"/><v>22658.576035511367</v></c><c r="I126" s="65"><f t="shared" si="47"/><v>3785.0152954260875</v></c><c r="J126" s="65"><f t="shared" si="47"/><v>3468.1317463687183</v></c><c r="K126" s="65"><f t="shared" si="47"/><v>0</v></c><c r="L126" s="65"><f t="shared" si="47"/><v>0</v></c><c r="M126" s="64"><f t="shared" si="29"/><v>31943.163613048106</v></c><c r="N126" s="65"><f t="shared" ref="N126:S126" si="48">N95+N105+N108+N112+N121</f><v>0</v></c><c r="O126" s="65"><f t="shared" si="48"/><v>0</v></c><c r="P126" s="65"><f t="shared" si="48"/><v>0</v></c><c r="Q126" s="65"><f t="shared" si="48"/><v>0</v></c><c r="R126" s="65"><f t="shared" si="48"/><v>0</v></c><c r="S126" s="65"><f t="shared" si="48"/><v>0</v></c><c r="T126" s="64"><f t="shared" si="31"/><v>0</v></c><c r="U126" s="64"><f t="shared" si="32"/><v>50177.371296882149</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06" t="str"><f>Translation!A121</f><v>SECTOR DE PRODUÇÃO</v></c><c r="C130" s="280" t="str"><f>Translation!A143</f><v>FONTE DE ENERGIA PRIMÁRIA</v></c><c r="D130" s="281"/><c r="E130" s="281"/><c r="F130" s="281"/><c r="G130" s="281"/><c r="H130" s="281"/><c r="I130" s="281"/><c r="J130" s="281"/><c r="K130" s="281"/><c r="L130" s="281"/><c r="M130" s="281"/><c r="N130" s="281"/><c r="O130" s="281"/><c r="P130" s="281"/><c r="Q130" s="281"/><c r="R130" s="281"/><c r="S130" s="282"/><c r="T130" s="60"/><c r="U130" s="283" t="str"><f>Translation!A123</f><v>Produto energético</v></c><c r="V130" s="284"/><c r="W130" s="289" t="str"><f>Translation!A150</f><v>FACTORES DE EMISSÃO DE CO2</v></c><c r="X130" s="57"/><c r="Y130" s="57"/><c r="Z130" s="57"/><c r="AA130" s="57"/><c r="AB130" s="57"/><c r="AC130" s="57"/><c r="AD130" s="57"/><c r="AE130" s="57"/></row><row r="131" spans="2:31" s="51" customFormat="1" ht="15" customHeight="1" x14ac:dyDescent="0.25"><c r="B131" s="307"/><c r="C131" s="280" t="str"><f>Translation!A99</f><v>Combustíveis fósseis</v></c><c r="D131" s="281"/><c r="E131" s="281"/><c r="F131" s="281"/><c r="G131" s="281"/><c r="H131" s="281"/><c r="I131" s="282"/><c r="J131" s="280" t="str"><f>Translation!A108</f><v>Fontes energéticas renováveis</v></c><c r="K131" s="281"/><c r="L131" s="281"/><c r="M131" s="281"/><c r="N131" s="281"/><c r="O131" s="281"/><c r="P131" s="281"/><c r="Q131" s="281"/><c r="R131" s="282"/><c r="S131" s="292" t="str"><f>Translation!A119</f><v>TOTAL</v></c><c r="T131" s="60"/><c r="U131" s="285"/><c r="V131" s="286"/><c r="W131" s="290"/><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292"/><c r="T132" s="60"/><c r="U132" s="287"/><c r="V132" s="288"/><c r="W132" s="291"/><c r="X132" s="57"/><c r="Y132" s="57"/><c r="Z132" s="57"/><c r="AA132" s="57"/><c r="AB132" s="57"/><c r="AC132" s="57"/><c r="AD132" s="57"/><c r="AE132" s="57"/></row><row r="133" spans="2:31" s="51" customFormat="1" ht="15.75" x14ac:dyDescent="0.25"><c r="B133" s="184" t="str"><f>Translation!A124</f><v>Electricidade</v></c><c r="C133" s="189"><f>'CO2 factors'!C$7*C69</f><v>18233.583122430537</v></c><c r="D133" s="189"><f>'CO2 factors'!D$7*D69</f><v>0.62456140350877198</v></c><c r="E133" s="189"><f>'CO2 factors'!E$7*E69</f><v>0</v></c><c r="F133" s="189"><f>'CO2 factors'!F$7*F69</f><v>0</v></c><c r="G133" s="189"><f>'CO2 factors'!G$7*G69</f><v>0</v></c><c r="H133" s="189"><f>'CO2 factors'!H$7*H69</f><v>0</v></c><c r="I133" s="59"><f>SUM(C133:H133)</f><v>18234.207683834044</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18234.207683834044</v></c><c r="T133" s="58"/><c r="U133" s="294" t="str"><f>Translation!A124</f><v>Electricidade</v></c><c r="V133" s="295"/><c r="W133" s="190"><f>IF(S59&gt;0,S133/S59,0)</f><v>0.38297540536647301</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3" t="str"><f>Translation!A125</f><v>Calor</v></c><c r="V134" s="29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3" t="str"><f>Translation!A126</f><v>Frio</v></c><c r="V135" s="293"/><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18233.583122430537</v></c><c r="D136" s="53"><f t="shared" si="49"/><v>0.62456140350877198</v></c><c r="E136" s="53"><f t="shared" si="49"/><v>0</v></c><c r="F136" s="53"><f t="shared" si="49"/><v>0</v></c><c r="G136" s="53"><f t="shared" si="49"/><v>0</v></c><c r="H136" s="53"><f t="shared" si="49"/><v>0</v></c><c r="I136" s="53"><f t="shared" si="49"/><v>18234.207683834044</v></c><c r="J136" s="53"><f t="shared" si="49"/><v>0</v></c><c r="K136" s="53"><f t="shared" si="49"/><v>0</v></c><c r="L136" s="53"><f t="shared" si="49"/><v>0</v></c><c r="M136" s="53"><f t="shared" si="49"/><v>0</v></c><c r="N136" s="53"><f t="shared" si="49"/><v>0</v></c><c r="O136" s="53"><f t="shared" si="49"/><v>0</v></c><c r="P136" s="53"><f t="shared" si="49"/><v>0</v></c><c r="Q136" s="53"><f t="shared" si="49"/><v>0</v></c><c r="R136" s="53"><f t="shared" si="49"/><v>0</v></c><c r="S136" s="53"><f t="shared" si="49"/><v>18234.207683834044</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318" t="str"><f>Translation!A123</f><v>Produto energético</v></c><c r="C140" s="277" t="str"><f>Translation!A143</f><v>FONTE DE ENERGIA PRIMÁRIA</v></c><c r="D140" s="278"/><c r="E140" s="278"/><c r="F140" s="278"/><c r="G140" s="278"/><c r="H140" s="278"/><c r="I140" s="278"/><c r="J140" s="278"/><c r="K140" s="278"/><c r="L140" s="278"/><c r="M140" s="278"/><c r="N140" s="278"/><c r="O140" s="278"/><c r="P140" s="278"/><c r="Q140" s="278"/><c r="R140" s="278"/><c r="S140" s="278"/><c r="T140" s="278"/><c r="U140" s="278"/><c r="V140" s="278"/><c r="W140" s="278"/><c r="X140" s="278"/><c r="Y140" s="279"/><c r="AA140" s="289" t="str"><f>Translation!A151</f><v>Emissões de CO2 de instalações CELE incluídas no cálculo para a energia final</v></c><c r="AB140" s="289" t="str"><f>Translation!A152</f><v>Emissões de CO2 de instalações CELE incluídas no cálculo para a produção de energia secundária</v></c></row><row r="141" spans="2:31" s="51" customFormat="1" ht="15" customHeight="1" x14ac:dyDescent="0.25"><c r="B141" s="319"/><c r="C141" s="277" t="str"><f>Translation!A99</f><v>Combustíveis fósseis</v></c><c r="D141" s="278"/><c r="E141" s="278"/><c r="F141" s="278"/><c r="G141" s="278"/><c r="H141" s="278"/><c r="I141" s="279"/><c r="J141" s="277" t="str"><f>Translation!A108</f><v>Fontes energéticas renováveis</v></c><c r="K141" s="278"/><c r="L141" s="278"/><c r="M141" s="278"/><c r="N141" s="278"/><c r="O141" s="278"/><c r="P141" s="278"/><c r="Q141" s="278"/><c r="R141" s="279"/><c r="S141" s="296" t="str"><f>Translation!A124</f><v>Electricidade</v></c><c r="T141" s="297"/><c r="U141" s="297"/><c r="V141" s="298"/><c r="W141" s="108" t="str"><f>Translation!A125</f><v>Calor</v></c><c r="X141" s="108" t="str"><f>Translation!A126</f><v>Frio</v></c><c r="Y141" s="259" t="str"><f>Translation!A119</f><v>TOTAL</v></c><c r="AA141" s="290"/><c r="AB141" s="290"/></row><row r="142" spans="2:31" s="51" customFormat="1" ht="90.75" customHeight="1" x14ac:dyDescent="0.25"><c r="B142" s="320"/><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9"/><c r="AA142" s="291"/><c r="AB142" s="291"/></row><row r="143" spans="2:31" s="51" customFormat="1" ht="15.75" x14ac:dyDescent="0.25"><c r="B143" s="107" t="str"><f>Translation!A119</f><v>TOTAL</v></c><c r="C143" s="186"><f>'CO2 factors'!C$7*C79</f><v>20265.023658172468</v></c><c r="D143" s="186"><f>'CO2 factors'!D$7*D79</f><v>22659.200596914874</v></c><c r="E143" s="186"><f>'CO2 factors'!E$7*E79</f><v>3785.0152954260875</v></c><c r="F143" s="186"><f>'CO2 factors'!F$7*F79</f><v>3468.1317463687183</v></c><c r="G143" s="186"><f>'CO2 factors'!G$7*G79</f><v>0</v></c><c r="H143" s="186"><f>'CO2 factors'!H$7*H79</f><v>0</v></c><c r="I143" s="53"><f>SUM(C143:H143)</f><v>50177.371296882142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50177.371296882142</v></c><c r="AA143" s="154"/><c r="AB143" s="154"/></row><row r="144" spans="2:31" s="51" customFormat="1" ht="15" x14ac:dyDescent="0.25"><c r="B144" s="52"/></row><row r="145" spans="1:21" ht="15.75" customHeight="1" x14ac:dyDescent="0.25"><c r="A145" s="145"/><c r="B145" s="146"/></row><row r="146" spans="1:21" ht="18.75" customHeight="1" x14ac:dyDescent="0.35"><c r="A146" s="144"/><c r="B146" s="269" t="str"><f>Translation!A156</f><v xml:space="preserve">Continue na próxima página dedicada ao Plano de Acção para a Energia Sustentável </v></c><c r="C146" s="270"/><c r="D146" s="270"/><c r="E146" s="270"/><c r="F146" s="270"/><c r="G146" s="270"/><c r="H146" s="270"/><c r="I146" s="270"/><c r="J146" s="270"/><c r="K146" s="270"/><c r="L146" s="270"/><c r="M146" s="270"/><c r="N146" s="270"/><c r="O146" s="270"/><c r="P146" s="270"/><c r="Q146" s="270"/><c r="R146" s="270"/><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71"/><c r="D148" s="271"/><c r="E148" s="271"/><c r="F148" s="271"/><c r="G148" s="271"/><c r="H148" s="271"/><c r="I148" s="271"/><c r="J148" s="271"/><c r="K148" s="271"/><c r="L148" s="271"/><c r="M148" s="271"/><c r="N148" s="271"/><c r="O148" s="271"/><c r="P148" s="271"/><c r="Q148" s="271"/><c r="R148" s="271"/><c r="S148" s="271"/><c r="T148" s="271"/><c r="U148" s="271"/></row><row r="149" spans="1:21" ht="12.75" customHeight="1" x14ac:dyDescent="0.2"><c r="B149" s="271"/><c r="C149" s="271"/><c r="D149" s="271"/><c r="E149" s="271"/><c r="F149" s="271"/><c r="G149" s="271"/><c r="H149" s="271"/><c r="I149" s="271"/><c r="J149" s="271"/><c r="K149" s="271"/><c r="L149" s="271"/><c r="M149" s="271"/><c r="N149" s="271"/><c r="O149" s="271"/><c r="P149" s="271"/><c r="Q149" s="271"/><c r="R149" s="271"/><c r="S149" s="271"/><c r="T149" s="271"/><c r="U149" s="271"/></row><row r="150" spans="1:21" ht="12.75" customHeight="1" x14ac:dyDescent="0.2"><c r="B150" s="271"/><c r="C150" s="271"/><c r="D150" s="271"/><c r="E150" s="271"/><c r="F150" s="271"/><c r="G150" s="271"/><c r="H150" s="271"/><c r="I150" s="271"/><c r="J150" s="271"/><c r="K150" s="271"/><c r="L150" s="271"/><c r="M150" s="271"/><c r="N150" s="271"/><c r="O150" s="271"/><c r="P150" s="271"/><c r="Q150" s="271"/><c r="R150" s="271"/><c r="S150" s="271"/><c r="T150" s="271"/><c r="U150" s="271"/></row></sheetData><mergeCells count="70"><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 ref="AA140:AA142"/><mergeCell ref="AB140:AB142"/><mergeCell ref="C141:I141"/><mergeCell ref="J141:R141"/><mergeCell ref="S141:V141"/><mergeCell ref="Y141:Y142"/><mergeCell ref="S131:S132"/><mergeCell ref="B92:B93"/><mergeCell ref="C92:U92"/><mergeCell ref="C93:F93"/><mergeCell ref="G93:M93"/><mergeCell ref="N93:T93"/><mergeCell ref="U93:U94"/><mergeCell ref="C84:I84"/><mergeCell ref="J84:R84"/><mergeCell ref="S84:S85"/><mergeCell ref="C66:S66"/><mergeCell ref="T66:T68"/><mergeCell ref="C67:I67"/><mergeCell ref="J67:R67"/><mergeCell ref="S67:S68"/><mergeCell ref="C76:Y76"/><mergeCell ref="C77:I77"/><mergeCell ref="J77:R77"/><mergeCell ref="S77:V77"/><mergeCell ref="Y77:Y78"/><mergeCell ref="C83:S83"/><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108"/><sheetViews><sheetView showGridLines="0" showZeros="0" topLeftCell="A61" zoomScale="70" zoomScaleNormal="70" workbookViewID_"0"><selection activeCell="G22" sqref="G22"/></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0" t="str"><f>Translation!$A$31</f><v>Plano de Acção para a Energia Sustentável nas Ilhas (PAES)</v></c><c r="B1" s="250"/><c r="C1" s="250"/><c r="D1" s="250"/><c r="E1" s="250"/><c r="F1" s="250"/><c r="G1" s="250"/><c r="H1" s="250"/><c r="I1" s="250"/><c r="J1" s="250"/><c r="K1" s="250"/><c r="L1" s="250"/><c r="M1" s="250"/></row><row r="2" spans="1:13" ht="28.5" customHeight="1" x14ac:dyDescent="0.25"><c r="A2" s="77"/><c r="B2" s="246" t="s"><v>1467</v></c><c r="C2" s="246"/><c r="D2" s="78" t="str"><f>Translation!$A$10</f><v>Ilha</v></c><c r="E2" s="79" t="str"><f>'Start here'!$B$5</f><v>Pico</v></c><c r="F2" s="80"/><c r="G2" s="80"/><c r="H2" s="81"/><c r="I2" s="81"/><c r="J2" s="81"/><c r="K2" s="81"/><c r="L2" s="81"/><c r="M2" s="81"/></row><row r="3" spans="1:13" ht="38.25" customHeight="1" x14ac:dyDescent="0.25"><c r="A3" s="22"/><c r="B3" s="23"/><c r="C3" s="24"/><c r="E3" s="25"/><c r="F3" s="25"/><c r="H3" s="26"/><c r="L3" s="27"/><c r="M3" s="27"/></row><row r="4" spans="1:13" ht="15.75" x14ac:dyDescent="0.25"><c r="A4" s="29"/><c r="B4" s="30"/><c r="L4" s="347" t="str"><f>Translation!$A$53</f><v>Campos obrigatórios</v></c><c r="M4" s="347"/></row><row r="5" spans="1:13" s="101" customFormat="1" ht="36" x14ac:dyDescent="0.25"><c r="A5" s="111" t="s"><v>0</v></c><c r="B5" s="332" t="str"><f>Translation!A157</f><v>TÍTULO DO PLANO DE ACÇÃO PARA A ENERGIA SUSTENTÁVEL</v></c><c r="C5" s="332"/><c r="D5" s="332"/><c r="E5" s="332"/><c r="F5" s="332"/><c r="G5" s="332"/><c r="H5" s="332"/><c r="I5" s="332"/><c r="J5" s="332"/><c r="K5" s="332"/><c r="L5" s="332"/><c r="M5" s="332"/></row><row r="6" spans="1:13" ht="34.5" customHeight="1" x14ac:dyDescent="0.25"><c r="A6" s="28"/><c r="B6" s="339" t="s"><v>1513</v></c><c r="C6" s="340"/><c r="D6" s="340"/><c r="E6" s="340"/><c r="F6" s="340"/><c r="G6" s="340"/><c r="H6" s="340"/><c r="I6" s="340"/><c r="J6" s="340"/><c r="K6" s="340"/><c r="L6" s="340"/><c r="M6" s="341"/></row><row r="7" spans="1:13" ht="15.75" customHeight="1" x14ac:dyDescent="0.25"><c r="A7" s="29"/><c r="B7" s="30"/></row><row r="8" spans="1:13" ht="21.75" customHeight="1" x14ac:dyDescent="0.25"><c r="A8" s="29"/><c r="E8" s="31"/><c r="F8" s="45" t="str"><f>Translation!A159</f><v>Entidade que aprova o plano</v></c><c r="G8" s="346" t="s"><v>1514</v></c><c r="H8" s="346"/><c r="I8" s="346"/><c r="J8" s="346"/><c r="L8" s="32" t="str"><f>Translation!A158</f><v>Data de aprovação formal</v></c><c r="M8" s="238"/></row><row r="9" spans="1:13" ht="15.75" x14ac:dyDescent="0.25"><c r="A9" s="29"/><c r="B9" s="30"/></row><row r="10" spans="1:13" s="101" customFormat="1" ht="36" customHeight="1" x14ac:dyDescent="0.25"><c r="A10" s="100" t="s"><v>4</v></c><c r="B10" s="331" t="str"><f>Translation!A160</f><v>ELEMENTOS PRINCIPAIS DO PLANO DE ACÇÃO PARA A ENERGIA SUSTENTÁVEL</v></c><c r="C10" s="331"/><c r="D10" s="331"/><c r="E10" s="331"/><c r="F10" s="331"/><c r="G10" s="331"/><c r="H10" s="331"/><c r="I10" s="331"/><c r="J10" s="331"/><c r="K10" s="331"/><c r="L10" s="331"/><c r="M10" s="331"/></row><row r="11" spans="1:13" s="33" customFormat="1" ht="68.25" customHeight="1" x14ac:dyDescent="0.25"><c r="B11" s="342" t="str"><f>Translation!A161</f><v>SECTORES E ÁREAS DE INTERVENÇÃO</v></c><c r="C11" s="342" t="str"><f>Translation!A162</f><v>ACÇÕES
(uma linha por acção - inserir linhas se necessário; excluir acções CELE)</v></c><c r="D11" s="342" t="str"><f>Translation!A163</f><v>RESPONSÁVEL PELA IMPLEMENTAÇÃO</v></c><c r="E11" s="344" t="str"><f>Translation!A164</f><v>CALENDÁRIO DE IMPLEMENTAÇÃO</v></c><c r="F11" s="345"/><c r="G11" s="342" t="str"><f>Translation!A167</f><v>INVESTIMENTO ESTIMADO [euro]</v></c><c r="H11" s="342" t="str"><f>Translation!A168</f><v>POUPANÇA DE ENERGIA ESPERADA [MWh/ano]</v></c><c r="I11" s="342" t="str"><f>Translation!A169</f><v>AUMENTO DE ENERGIA RENOVÁVEL ESPERADO [MWh/ano]</v></c><c r="J11" s="342" t="str"><f>Translation!A170</f><v>REDUÇÃO DE EMISSÕES DE CO2 ESPERADA [t/ano]</v></c><c r="K11" s="342" t="str"><f>Translation!A171</f><v>META DE POUPANÇA DE ENERGIA EM 2020 [MWh/ano]</v></c><c r="L11" s="342" t="str"><f>Translation!A172</f><v>META DE AUMENTO DE ENERGIA RENOVÁVEL EM 2020 [MWh/ano]</v></c><c r="M11" s="342" t="str"><f>Translation!A173</f><v>META DE REDUÇÃO DE EMISSÕES DE CO2 EM 2020 [t/ano]</v></c></row><row r="12" spans="1:13" s="33" customFormat="1" ht="31.5" customHeight="1" x14ac:dyDescent="0.25"><c r="B12" s="343"/><c r="C12" s="343"/><c r="D12" s="343"/><c r="E12" s="34" t="str"><f>Translation!A165</f><v>Ano de início</v></c><c r="F12" s="34" t="str"><f>Translation!A166</f><v>Ano de conclusão</v></c><c r="G12" s="343"/><c r="H12" s="343"/><c r="I12" s="343"/><c r="J12" s="343"/><c r="K12" s="343"/><c r="L12" s="343"/><c r="M12" s="343"/></row><row r="13" spans="1:13" s="33" customFormat="1" ht="15" x14ac:dyDescent="0.25"><c r="B13" s="197" t="str"><f>Translation!A60</f><v>RESIDENCIAL</v></c><c r="C13" s="198"/><c r="D13" s="198"/><c r="E13" s="199"/><c r="F13" s="199"/><c r="G13" s="200"/><c r="H13" s="200"/><c r="I13" s="200"/><c r="J13" s="200"/><c r="K13" s="200"/><c r="L13" s="200"/><c r="M13" s="200"/></row><row r="14" spans="1:13" s="33" customFormat="1" ht="15" x14ac:dyDescent="0.25"><c r="B14" s="336" t="str"><f>Translation!A61</f><v>Água quente</v></c><c r="C14" s="240" t="s"><v>1522</v></c><c r="D14" s="240" t="s"><v>1515</v></c><c r="E14" s="241"><v>2013</v></c><c r="F14" s="242"><v>2020</v></c><c r="G14" s="243"><f>1130*1885.7</f><v>2130841</v></c><c r="H14" s="243"><f>1130*1.6</f><v>1808</v></c><c r="I14" s="243"><f>H14/0.7</f><v>2582.8571428571431</v></c><c r="J14" s="243"><f>H14*'CO2 factors'!$F$9</f><v>433.91999999999996</v></c><c r="K14" s="328"><f>SUM(H14:H26)</f><v>5427.0560236000001</v></c><c r="L14" s="328"><f t="shared" ref="L14:M14" si="0">SUM(I14:I26)</f><v>2582.8571428571431</v></c><c r="M14" s="333"><f t="shared" si="0"/><v>1820.9848254992</v></c></row><row r="15" spans="1:13" s="239" customFormat="1" ht="15" x14ac:dyDescent="0.25"><c r="B15" s="337"/><c r="C15" s="240" t="s"><v>1516</v></c><c r="D15" s="240" t="s"><v>1515</v></c><c r="E15" s="241"><v>2012</v></c><c r="F15" s="242"><v>2020</v></c><c r="G15" s="243"><f>H15*530</f><v>889332.05</v></c><c r="H15" s="243"><f>17663*9.5%</f><v>1677.9850000000001</v></c><c r="I15" s="243"/><c r="J15" s="243"><f>H15*'CO2 factors'!$F$9</f><v>402.71640000000002</v></c><c r="K15" s="329"/><c r="L15" s="329"/><c r="M15" s="334"/></row><row r="16" spans="1:13" s="239" customFormat="1" ht="15" x14ac:dyDescent="0.25"><c r="B16" s="338"/><c r="C16" s="240" t="s"><v>1517</v></c><c r="D16" s="240" t="s"><v>1515</v></c><c r="E16" s="241"><v>2013</v></c><c r="F16" s="242"><v>2020</v></c><c r="G16" s="243"><f>5058*25%*4*5</f><v>25290</v></c><c r="H16" s="243"><f>5058*25%*30%</f><v>379.34999999999997</v></c><c r="I16" s="243"/><c r="J16" s="243"><f>H16*'CO2 factors'!$F$9</f><v>91.043999999999983</v></c><c r="K16" s="329"/><c r="L16" s="329"/><c r="M16" s="334"/></row><row r="17" spans="2:13" s="33" customFormat="1" ht="30" x14ac:dyDescent="0.25"><c r="B17" s="35" t="str"><f>Translation!A62</f><v>Aquecimento e arrefecimento</v></c><c r="C17" s="240" t="s"><v>1518</v></c><c r="D17" s="240" t="s"><v>1515</v></c><c r="E17" s="241"><v>2012</v></c><c r="F17" s="242"><v>2020</v></c><c r="G17" s="243"><f>H17*12000</f><v>5548224</v></c><c r="H17" s="243"><f>16280*2.84%</f><v>462.35199999999998</v></c><c r="I17" s="243"/><c r="J17" s="243"><f>H17*0.572</f><v>264.46534399999996</v></c><c r="K17" s="329"/><c r="L17" s="329"/><c r="M17" s="334"/></row><row r="18" spans="2:13" s="33" customFormat="1" ht="15" x14ac:dyDescent="0.25"><c r="B18" s="35" t="str"><f>Translation!A63</f><v>Iluminação</v></c><c r="C18" s="240" t="s"><v>1519</v></c><c r="D18" s="240" t="s"><v>1515</v></c><c r="E18" s="241"><v>2013</v></c><c r="F18" s="242"><v>2020</v></c><c r="G18" s="243"><f>5058*0.25*9*6</f><v>68283</v></c><c r="H18" s="243"><f>5058*0.25*9*40/1000000*2*365</f><v>332.31060000000002</v></c><c r="I18" s="243"/><c r="J18" s="243"><f>H18*0.572</f><v>190.08166320000001</v></c><c r="K18" s="329"/><c r="L18" s="329"/><c r="M18" s="334"/></row><row r="19" spans="2:13" s="33" customFormat="1" ht="15" x14ac:dyDescent="0.25"><c r="B19" s="35" t="str"><f>Translation!A64</f><v>Cozinha</v></c><c r="C19" s="240"/><c r="D19" s="240"/><c r="E19" s="241"/><c r="F19" s="242"/><c r="G19" s="243"/><c r="H19" s="243"/><c r="I19" s="243"/><c r="J19" s="243"/><c r="K19" s="329"/><c r="L19" s="329"/><c r="M19" s="334"/></row><row r="20" spans="2:13" s="33" customFormat="1" ht="15" x14ac:dyDescent="0.25"><c r="B20" s="35" t="str"><f>Translation!A65</f><v>Frigoríficos e congeladores</v></c><c r="C20" s="240" t="s"><v>1520</v></c><c r="D20" s="240" t="s"><v>1515</v></c><c r="E20" s="241"><v>2013</v></c><c r="F20" s="242"><v>2020</v></c><c r="G20" s="243"><f>5058*0.2*330</f><v>333828</v></c><c r="H20" s="243"><f>5058*0.2*328.571/1000</f><v>332.38242360000004</v></c><c r="I20" s="243"/><c r="J20" s="243"><f>H20*0.572</f><v>190.1227462992</v></c><c r="K20" s="329"/><c r="L20" s="329"/><c r="M20" s="334"/></row><row r="21" spans="2:13" s="33" customFormat="1" ht="15" x14ac:dyDescent="0.25"><c r="B21" s="35" t="str"><f>Translation!A66</f><v>Máquinas de lavar e secar roupa</v></c><c r="C21" s="240"/><c r="D21" s="240"/><c r="E21" s="241"/><c r="F21" s="242"/><c r="G21" s="243"/><c r="H21" s="243"/><c r="I21" s="243"/><c r="J21" s="243"/><c r="K21" s="329"/><c r="L21" s="329"/><c r="M21" s="334"/></row><row r="22" spans="2:13" s="33" customFormat="1" ht="15" x14ac:dyDescent="0.25"><c r="B22" s="35" t="str"><f>Translation!A67</f><v>Máquinas de lavar louça</v></c><c r="C22" s="240"/><c r="D22" s="240"/><c r="E22" s="241"/><c r="F22" s="242"/><c r="G22" s="243"/><c r="H22" s="243"/><c r="I22" s="243"/><c r="J22" s="243"/><c r="K22" s="329"/><c r="L22" s="329"/><c r="M22" s="334"/></row><row r="23" spans="2:13" s="33" customFormat="1" ht="30" x14ac:dyDescent="0.25"><c r="B23" s="35" t="str"><f>Translation!A68</f><v>Televisores</v></c><c r="C23" s="240" t="s"><v>1521</v></c><c r="D23" s="240" t="s"><v>1515</v></c><c r="E23" s="241"><v>2012</v></c><c r="F23" s="242"><v>2020</v></c><c r="G23" s="243"/><c r="H23" s="243"><f>16280*2.67%</f><v>434.67599999999999</v></c><c r="I23" s="243"/><c r="J23" s="243"><f>H23*0.572</f><v>248.63467199999997</v></c><c r="K23" s="329"/><c r="L23" s="329"/><c r="M23" s="334"/></row><row r="24" spans="2:13" s="33" customFormat="1" ht="15" x14ac:dyDescent="0.25"><c r="B24" s="35" t="str"><f>Translation!A69</f><v>Outros aparelhos eléctricos</v></c><c r="C24" s="218"/><c r="D24" s="218"/><c r="E24" s="219"/><c r="F24" s="220"/><c r="G24" s="221"/><c r="H24" s="221"/><c r="I24" s="221"/><c r="J24" s="221"/><c r="K24" s="329"/><c r="L24" s="329"/><c r="M24" s="334"/></row><row r="25" spans="2:13" s="33" customFormat="1" ht="15" x14ac:dyDescent="0.25"><c r="B25" s="35" t="str"><f>Translation!A59</f><v>Acções gerais</v></c><c r="C25" s="218"/><c r="D25" s="218"/><c r="E25" s="219"/><c r="F25" s="220"/><c r="G25" s="221"/><c r="H25" s="221"/><c r="I25" s="221"/><c r="J25" s="221"/><c r="K25" s="329"/><c r="L25" s="329"/><c r="M25" s="334"/></row><row r="26" spans="2:13" s="33" customFormat="1" ht="7.5" customHeight="1" x14ac:dyDescent="0.25"><c r="B26" s="35"/><c r="C26" s="16"/><c r="D26" s="16"/><c r="E26" s="17"/><c r="F26" s="18"/><c r="G26" s="19"/><c r="H26" s="19"/><c r="I26" s="19"/><c r="J26" s="19"/><c r="K26" s="330"/><c r="L26" s="330"/><c r="M26" s="335"/></row><row r="27" spans="2:13" s="33" customFormat="1" ht="15" x14ac:dyDescent="0.25"><c r="B27" s="197" t="str"><f>Translation!A70</f><v>SECTOR PRIMÁRIO</v></c><c r="C27" s="198"/><c r="D27" s="198"/><c r="E27" s="199"/><c r="F27" s="199"/><c r="G27" s="200"/><c r="H27" s="200"/><c r="I27" s="200"/><c r="J27" s="200"/><c r="K27" s="200"/><c r="L27" s="200"/><c r="M27" s="200"/></row><row r="28" spans="2:13" s="33" customFormat="1" ht="30" x14ac:dyDescent="0.25"><c r="B28" s="35" t="str"><f>Translation!A71</f><v>Agricultura, produção animal, caça, floresta e pesca</v></c><c r="C28" s="218"/><c r="D28" s="218"/><c r="E28" s="219"/><c r="F28" s="220"/><c r="G28" s="221"/><c r="H28" s="221"/><c r="I28" s="221"/><c r="J28" s="221"/><c r="K28" s="328"><f>SUM(H28:H31)</f><v>0</v></c><c r="L28" s="328"><f>SUM(I28:I31)</f><v>0</v></c><c r="M28" s="333"><f>SUM(J28:J31)</f><v>0</v></c></row><row r="29" spans="2:13" s="33" customFormat="1" ht="15" x14ac:dyDescent="0.25"><c r="B29" s="35" t="str"><f>Translation!A72</f><v>Indústrias extractivas</v></c><c r="C29" s="218"/><c r="D29" s="218"/><c r="E29" s="219"/><c r="F29" s="220"/><c r="G29" s="221"/><c r="H29" s="221"/><c r="I29" s="221"/><c r="J29" s="221"/><c r="K29" s="329"/><c r="L29" s="329"/><c r="M29" s="334"/></row><row r="30" spans="2:13" s="33" customFormat="1" ht="15" x14ac:dyDescent="0.25"><c r="B30" s="35" t="str"><f>Translation!A59</f><v>Acções gerais</v></c><c r="C30" s="218"/><c r="D30" s="218"/><c r="E30" s="219"/><c r="F30" s="220"/><c r="G30" s="221"/><c r="H30" s="221"/><c r="I30" s="221"/><c r="J30" s="221"/><c r="K30" s="329"/><c r="L30" s="329"/><c r="M30" s="334"/></row><row r="31" spans="2:13" s="33" customFormat="1" ht="7.5" customHeight="1" x14ac:dyDescent="0.25"><c r="B31" s="35"/><c r="C31" s="16"/><c r="D31" s="16"/><c r="E31" s="17"/><c r="F31" s="18"/><c r="G31" s="19"/><c r="H31" s="19"/><c r="I31" s="19"/><c r="J31" s="19"/><c r="K31" s="330"/><c r="L31" s="330"/><c r="M31" s="335"/></row><row r="32" spans="2:13" s="33" customFormat="1" ht="15" x14ac:dyDescent="0.25"><c r="B32" s="197" t="str"><f>Translation!A73</f><v>SECTOR SECUNDÁRIO</v></c><c r="C32" s="198"/><c r="D32" s="198"/><c r="E32" s="199"/><c r="F32" s="199"/><c r="G32" s="200"/><c r="H32" s="200"/><c r="I32" s="200"/><c r="J32" s="200"/><c r="K32" s="200"/><c r="L32" s="200"/><c r="M32" s="200"/></row><row r="33" spans="2:13" s="33" customFormat="1" ht="15" x14ac:dyDescent="0.25"><c r="B33" s="35" t="str"><f>Translation!A74</f><v>Indústrias transformadoras</v></c><c r="C33" s="218"/><c r="D33" s="218"/><c r="E33" s="219"/><c r="F33" s="220"/><c r="G33" s="221"/><c r="H33" s="221"/><c r="I33" s="221"/><c r="J33" s="221"/><c r="K33" s="328"><f>SUM(H33:H37)</f><v>0</v></c><c r="L33" s="328"><f t="shared" ref="L33:M33" si="1">SUM(I33:I37)</f><v>0</v></c><c r="M33" s="333"><f t="shared" si="1"/><v>0</v></c></row><row r="34" spans="2:13" s="33" customFormat="1" ht="60" x14ac:dyDescent="0.25"><c r="B34" s="35" t="str"><f>Translation!A75</f><v>Captação, tratamento e distribuição de água; saneamento, gestão de resíduos
e despoluição</v></c><c r="C34" s="218"/><c r="D34" s="218"/><c r="E34" s="219"/><c r="F34" s="220"/><c r="G34" s="221"/><c r="H34" s="221"/><c r="I34" s="221"/><c r="J34" s="221"/><c r="K34" s="329"/><c r="L34" s="329"/><c r="M34" s="334"/></row><row r="35" spans="2:13" s="33" customFormat="1" ht="15" x14ac:dyDescent="0.25"><c r="B35" s="35" t="str"><f>Translation!A76</f><v>Construção</v></c><c r="C35" s="218"/><c r="D35" s="218"/><c r="E35" s="219"/><c r="F35" s="220"/><c r="G35" s="221"/><c r="H35" s="221"/><c r="I35" s="221"/><c r="J35" s="221"/><c r="K35" s="329"/><c r="L35" s="329"/><c r="M35" s="334"/></row><row r="36" spans="2:13" s="33" customFormat="1" ht="15" x14ac:dyDescent="0.25"><c r="B36" s="35" t="str"><f>Translation!A59</f><v>Acções gerais</v></c><c r="C36" s="218"/><c r="D36" s="218"/><c r="E36" s="219"/><c r="F36" s="220"/><c r="G36" s="221"/><c r="H36" s="221"/><c r="I36" s="221"/><c r="J36" s="221"/><c r="K36" s="329"/><c r="L36" s="329"/><c r="M36" s="334"/></row><row r="37" spans="2:13" s="33" customFormat="1" ht="7.5" customHeight="1" x14ac:dyDescent="0.25"><c r="B37" s="35"/><c r="C37" s="16"/><c r="D37" s="16"/><c r="E37" s="17"/><c r="F37" s="18"/><c r="G37" s="19"/><c r="H37" s="19"/><c r="I37" s="19"/><c r="J37" s="19"/><c r="K37" s="330"/><c r="L37" s="330"/><c r="M37" s="335"/></row><row r="38" spans="2:13" s="33" customFormat="1" ht="15" x14ac:dyDescent="0.25"><c r="B38" s="197" t="str"><f>Translation!A77</f><v>SECTOR TERCIÁRIO</v></c><c r="C38" s="198"/><c r="D38" s="198"/><c r="E38" s="199"/><c r="F38" s="199"/><c r="G38" s="200"/><c r="H38" s="200"/><c r="I38" s="200"/><c r="J38" s="200"/><c r="K38" s="200"/><c r="L38" s="200"/><c r="M38" s="200"/></row><row r="39" spans="2:13" s="33" customFormat="1" ht="45" x14ac:dyDescent="0.25"><c r="B39" s="35" t="str"><f>Translation!A78</f><v>Comércio por grosso e a retalho; reparação de veículos automóveis e motociclos</v></c><c r="C39" s="218"/><c r="D39" s="218"/><c r="E39" s="219"/><c r="F39" s="220"/><c r="G39" s="221"/><c r="H39" s="221"/><c r="I39" s="221"/><c r="J39" s="221"/><c r="K39" s="328"><f>SUM(H39:H48)</f><v>1083.9499999999998</v></c><c r="L39" s="328"><f t="shared" ref="L39:M39" si="2">SUM(I39:I48)</f><v>0</v></c><c r="M39" s="333"><f t="shared" si="2"/><v>620.01939999999979</v></c></row><row r="40" spans="2:13" s="33" customFormat="1" ht="15" x14ac:dyDescent="0.25"><c r="B40" s="35" t="str"><f>Translation!A79</f><v>Alojamento, restauração e similares</v></c><c r="C40" s="218"/><c r="D40" s="218"/><c r="E40" s="219"/><c r="F40" s="220"/><c r="G40" s="221"/><c r="H40" s="221"/><c r="I40" s="221"/><c r="J40" s="221"/><c r="K40" s="329"/><c r="L40" s="329"/><c r="M40" s="334"/></row><row r="41" spans="2:13" s="33" customFormat="1" ht="30" x14ac:dyDescent="0.25"><c r="B41" s="35" t="str"><f>Translation!A80</f><v>Administração pública e segurança social</v></c><c r="C41" s="218"/><c r="D41" s="218"/><c r="E41" s="219"/><c r="F41" s="220"/><c r="G41" s="221"/><c r="H41" s="221"/><c r="I41" s="221"/><c r="J41" s="221"/><c r="K41" s="329"/><c r="L41" s="329"/><c r="M41" s="334"/></row><row r="42" spans="2:13" s="33" customFormat="1" ht="15" x14ac:dyDescent="0.25"><c r="B42" s="35" t="str"><f>Translation!A81</f><v>Defesa, justiça, polícia e bombeiros</v></c><c r="C42" s="218"/><c r="D42" s="218"/><c r="E42" s="219"/><c r="F42" s="220"/><c r="G42" s="221"/><c r="H42" s="221"/><c r="I42" s="221"/><c r="J42" s="221"/><c r="K42" s="329"/><c r="L42" s="329"/><c r="M42" s="334"/></row><row r="43" spans="2:13" s="33" customFormat="1" ht="15" x14ac:dyDescent="0.25"><c r="B43" s="35" t="str"><f>Translation!A82</f><v>Educação</v></c><c r="C43" s="218"/><c r="D43" s="218"/><c r="E43" s="219"/><c r="F43" s="220"/><c r="G43" s="221"/><c r="H43" s="221"/><c r="I43" s="221"/><c r="J43" s="221"/><c r="K43" s="329"/><c r="L43" s="329"/><c r="M43" s="334"/></row><row r="44" spans="2:13" s="33" customFormat="1" ht="30" x14ac:dyDescent="0.25"><c r="B44" s="35" t="str"><f>Translation!A83</f><v>Actividades de saúde humana e apoio social</v></c><c r="C44" s="218"/><c r="D44" s="218"/><c r="E44" s="219"/><c r="F44" s="220"/><c r="G44" s="221"/><c r="H44" s="221"/><c r="I44" s="221"/><c r="J44" s="221"/><c r="K44" s="329"/><c r="L44" s="329"/><c r="M44" s="334"/></row><row r="45" spans="2:13" s="33" customFormat="1" ht="15" x14ac:dyDescent="0.25"><c r="B45" s="35" t="str"><f>Translation!A84</f><v>Outros serviços</v></c><c r="C45" s="218"/><c r="D45" s="218"/><c r="E45" s="219"/><c r="F45" s="220"/><c r="G45" s="221"/><c r="H45" s="221"/><c r="I45" s="221"/><c r="J45" s="221"/><c r="K45" s="329"/><c r="L45" s="329"/><c r="M45" s="334"/></row><row r="46" spans="2:13" s="33" customFormat="1" ht="30" x14ac:dyDescent="0.25"><c r="B46" s="35" t="str"><f>Translation!A85</f><v>Iluminação pública</v></c><c r="C46" s="240" t="s"><v>1523</v></c><c r="D46" s="240" t="s"><v>1524</v></c><c r="E46" s="241"><v>2012</v></c><c r="F46" s="242"><v>2012</v></c><c r="G46" s="243"/><c r="H46" s="243"><f>3097*0.35</f><v>1083.9499999999998</v></c><c r="I46" s="243"/><c r="J46" s="243"><f>H46*0.572</f><v>620.01939999999979</v></c><c r="K46" s="329"/><c r="L46" s="329"/><c r="M46" s="334"/></row><row r="47" spans="2:13" s="33" customFormat="1" ht="15" x14ac:dyDescent="0.25"><c r="B47" s="35" t="str"><f>Translation!A59</f><v>Acções gerais</v></c><c r="C47" s="218"/><c r="D47" s="218"/><c r="E47" s="219"/><c r="F47" s="220"/><c r="G47" s="221"/><c r="H47" s="221"/><c r="I47" s="221"/><c r="J47" s="221"/><c r="K47" s="329"/><c r="L47" s="329"/><c r="M47" s="334"/></row><row r="48" spans="2:13" s="33" customFormat="1" ht="7.5" customHeight="1" x14ac:dyDescent="0.25"><c r="B48" s="35"/><c r="C48" s="16"/><c r="D48" s="16"/><c r="E48" s="17"/><c r="F48" s="18"/><c r="G48" s="19"/><c r="H48" s="19"/><c r="I48" s="19"/><c r="J48" s="19"/><c r="K48" s="330"/><c r="L48" s="330"/><c r="M48" s="335"/></row><row r="49" spans="2:13" s="33" customFormat="1" ht="15" x14ac:dyDescent="0.25"><c r="B49" s="197" t="str"><f>Translation!A86</f><v>TRANSPORTES</v></c><c r="C49" s="198"/><c r="D49" s="198"/><c r="E49" s="199"/><c r="F49" s="199"/><c r="G49" s="200"/><c r="H49" s="200"/><c r="I49" s="200"/><c r="J49" s="200"/><c r="K49" s="200"/><c r="L49" s="200"/><c r="M49" s="200"/></row><row r="50" spans="2:13" s="33" customFormat="1" ht="45" x14ac:dyDescent="0.25"><c r="B50" s="35" t="str"><f>Translation!A87</f><v>Transporte de passageiros por estrada (transportes públicos, táxis, turismo, transporte escolar, etc.)</v></c><c r="C50" s="240" t="s"><v>1525</v></c><c r="D50" s="240" t="s"><v>1526</v></c><c r="E50" s="241"><v>2011</v></c><c r="F50" s="242"><v>2016</v></c><c r="G50" s="243"/><c r="H50" s="243"><f>53859*10%*8%*90%</f><v>387.78480000000008</v></c><c r="I50" s="243"/><c r="J50" s="243"><f>H50*'CO2 factors'!D9</f><v>103.53854160000003</v></c><c r="K50" s="328"><f>SUM(H50:H55)</f><v>2498.7847999999999</v></c><c r="L50" s="328"><f t="shared" ref="L50:M50" si="3">SUM(I50:I55)</f><v>0</v></c><c r="M50" s="333"><f t="shared" si="3"/><v>816.11854160000007</v></c></row><row r="51" spans="2:13" s="33" customFormat="1" ht="30" x14ac:dyDescent="0.25"><c r="B51" s="35" t="str"><f>Translation!A88</f><v>Transporte de mercadorias por estrada e serviços de mudanças</v></c><c r="C51" s="240"/><c r="D51" s="240"/><c r="E51" s="241"/><c r="F51" s="242" t="s"><v>1527</v></c><c r="G51" s="243"/><c r="H51" s="243"/><c r="I51" s="243"/><c r="J51" s="243"/><c r="K51" s="329"/><c r="L51" s="329"/><c r="M51" s="334"/></row><row r="52" spans="2:13" s="33" customFormat="1" ht="30" x14ac:dyDescent="0.25"><c r="B52" s="35" t="str"><f>Translation!A89</f><v>Outras frotas de serviços públicos e privados</v></c><c r="C52" s="240"/><c r="D52" s="240"/><c r="E52" s="241"/><c r="F52" s="242"/><c r="G52" s="243"/><c r="H52" s="243"/><c r="I52" s="243"/><c r="J52" s="243"/><c r="K52" s="329"/><c r="L52" s="329"/><c r="M52" s="334"/></row><row r="53" spans="2:13" s="33" customFormat="1" ht="15" x14ac:dyDescent="0.25"><c r="B53" s="35" t="str"><f>Translation!A90</f><v>Transporte particular</v></c><c r="C53" s="240" t="s"><v>1528</v></c><c r="D53" s="240" t="s"><v>1515</v></c><c r="E53" s="241"><v>2014</v></c><c r="F53" s="242"><v>2020</v></c><c r="G53" s="243"><f>1445*5500</f><v>7947500</v></c><c r="H53" s="243"><v>2111</v></c><c r="I53" s="243"/><c r="J53" s="243"><v>712.58</v></c><c r="K53" s="329"/><c r="L53" s="329"/><c r="M53" s="334"/></row><row r="54" spans="2:13" s="33" customFormat="1" ht="15" x14ac:dyDescent="0.25"><c r="B54" s="35" t="str"><f>Translation!A59</f><v>Acções gerais</v></c><c r="C54" s="218"/><c r="D54" s="218"/><c r="E54" s="219"/><c r="F54" s="220"/><c r="G54" s="221"/><c r="H54" s="221"/><c r="I54" s="221"/><c r="J54" s="221"/><c r="K54" s="329"/><c r="L54" s="329"/><c r="M54" s="334"/></row><row r="55" spans="2:13" s="33" customFormat="1" ht="7.5" customHeight="1" x14ac:dyDescent="0.25"><c r="B55" s="35"/><c r="C55" s="16"/><c r="D55" s="16"/><c r="E55" s="17"/><c r="F55" s="18"/><c r="G55" s="19"/><c r="H55" s="19"/><c r="I55" s="19"/><c r="J55" s="19"/><c r="K55" s="330"/><c r="L55" s="330"/><c r="M55" s="335"/></row><row r="56" spans="2:13" s="33" customFormat="1" ht="15" x14ac:dyDescent="0.25"><c r="B56" s="197" t="str"><f>Translation!$A$174</f><v>PRODUÇÃO DE ENERGIA SECUNDÁRIA E FLUXOS ENERGÉTICOS</v></c><c r="C56" s="198"/><c r="D56" s="198"/><c r="E56" s="199"/><c r="F56" s="199"/><c r="G56" s="200"/><c r="H56" s="200"/><c r="I56" s="200"/><c r="J56" s="200"/><c r="K56" s="200"/><c r="L56" s="200"/><c r="M56" s="200"/></row><row r="57" spans="2:13" s="33" customFormat="1" ht="15" x14ac:dyDescent="0.25"><c r="B57" s="35" t="str"><f>Translation!$A$175</f><v>Electricidade (não renovável)</v></c><c r="C57" s="218"/><c r="D57" s="218"/><c r="E57" s="219"/><c r="F57" s="220"/><c r="G57" s="221"/><c r="H57" s="221"/><c r="I57" s="221"/><c r="J57" s="221"/><c r="K57" s="328"><f>SUM(H57:H72)</f><v>0</v></c><c r="L57" s="328"><f t="shared" ref="L57:M57" si="4">SUM(I57:I72)</f><v>14191.199999999999</v></c><c r="M57" s="333"><f t="shared" si="4"/><v>8117.366399999999</v></c></row><row r="58" spans="2:13" s="33" customFormat="1" ht="15" x14ac:dyDescent="0.25"><c r="B58" s="35" t="str"><f>Translation!$A$176</f><v>Calor (não renovável)</v></c><c r="C58" s="218"/><c r="D58" s="218"/><c r="E58" s="219"/><c r="F58" s="220"/><c r="G58" s="221"/><c r="H58" s="221"/><c r="I58" s="221"/><c r="J58" s="221"/><c r="K58" s="329"/><c r="L58" s="329"/><c r="M58" s="334"/></row><row r="59" spans="2:13" s="33" customFormat="1" ht="15" x14ac:dyDescent="0.25"><c r="B59" s="35" t="str"><f>Translation!$A$177</f><v>Frio (não renovável)</v></c><c r="C59" s="218"/><c r="D59" s="218"/><c r="E59" s="219"/><c r="F59" s="220"/><c r="G59" s="221"/><c r="H59" s="221"/><c r="I59" s="221"/><c r="J59" s="221"/><c r="K59" s="329"/><c r="L59" s="329"/><c r="M59" s="334"/></row><row r="60" spans="2:13" s="33" customFormat="1" ht="15" x14ac:dyDescent="0.25"><c r="B60" s="35" t="str"><f>Translation!$A$178</f><v>Hídrica</v></c><c r="C60" s="218"/><c r="D60" s="218"/><c r="E60" s="219"/><c r="F60" s="220"/><c r="G60" s="221"/><c r="H60" s="221"/><c r="I60" s="221"/><c r="J60" s="221"/><c r="K60" s="329"/><c r="L60" s="329"/><c r="M60" s="334"/></row><row r="61" spans="2:13" s="239" customFormat="1" ht="15" x14ac:dyDescent="0.25"><c r="B61" s="336" t="str"><f>Translation!$A$179</f><v>Eólica</v></c><c r="C61" s="240" t="s"><v>1529</v></c><c r="D61" s="240" t="s"><v>1530</v></c><c r="E61" s="241"><v>2011</v></c><c r="F61" s="242"><v>2012</v></c><c r="G61" s="243"><f>0.6*1200000</f><v>720000</v></c><c r="H61" s="243"/><c r="I61" s="243"><f>0.6*8760*35%</f><v>1839.6</v></c><c r="J61" s="243"><f>I61*0.572</f><v>1052.2511999999999</v></c><c r="K61" s="329"/><c r="L61" s="329"/><c r="M61" s="334"/></row><row r="62" spans="2:13" s="33" customFormat="1" ht="15" x14ac:dyDescent="0.25"><c r="B62" s="338"/><c r="C62" s="218" t="s"><v>1531</v></c><c r="D62" s="218" t="s"><v>1530</v></c><c r="E62" s="219"><v>2015</v></c><c r="F62" s="220"><v>2016</v></c><c r="G62" s="221"><f>3.6*1200000</f><v>4320000</v></c><c r="H62" s="221"/><c r="I62" s="221"><f>3.6*8760*35%</f><v>11037.599999999999</v></c><c r="J62" s="243"><f>I62*0.572</f><v>6313.5071999999991</v></c><c r="K62" s="329"/><c r="L62" s="329"/><c r="M62" s="334"/></row><row r="63" spans="2:13" s="33" customFormat="1" ht="30" x14ac:dyDescent="0.25"><c r="B63" s="35" t="str"><f>Translation!$A$180</f><v>Solar</v></c><c r="C63" s="218" t="s"><v>1532</v></c><c r="D63" s="218" t="s"><v>1515</v></c><c r="E63" s="219"><v>2016</v></c><c r="F63" s="220"><v>2020</v></c><c r="G63" s="221"><f>600*10000</f><v>6000000</v></c><c r="H63" s="221"/><c r="I63" s="221"><f>1.2*8760*12.5%</f><v>1314</v></c><c r="J63" s="243"><f>I63*0.572</f><v>751.60799999999995</v></c><c r="K63" s="329"/><c r="L63" s="329"/><c r="M63" s="334"/></row><row r="64" spans="2:13" s="33" customFormat="1" ht="15" x14ac:dyDescent="0.25"><c r="B64" s="35" t="str"><f>Translation!$A$181</f><v>Geotérmica</v></c><c r="C64" s="218"/><c r="D64" s="218"/><c r="E64" s="219"/><c r="F64" s="220"/><c r="G64" s="221"/><c r="H64" s="221"/><c r="I64" s="221"/><c r="J64" s="221"/><c r="K64" s="329"/><c r="L64" s="329"/><c r="M64" s="334"/></row><row r="65" spans="2:13" s="33" customFormat="1" ht="15" x14ac:dyDescent="0.25"><c r="B65" s="35" t="str"><f>Translation!$A$182</f><v>Oceânica</v></c><c r="C65" s="218"/><c r="D65" s="218"/><c r="E65" s="219"/><c r="F65" s="220"/><c r="G65" s="221"/><c r="H65" s="221"/><c r="I65" s="221"/><c r="J65" s="221"/><c r="K65" s="329"/><c r="L65" s="329"/><c r="M65" s="334"/></row><row r="66" spans="2:13" s="33" customFormat="1" ht="15" x14ac:dyDescent="0.25"><c r="B66" s="35" t="str"><f>Translation!$A$183</f><v>Biomassa</v></c><c r="C66" s="218"/><c r="D66" s="218"/><c r="E66" s="219"/><c r="F66" s="220"/><c r="G66" s="221"/><c r="H66" s="221"/><c r="I66" s="221"/><c r="J66" s="221"/><c r="K66" s="329"/><c r="L66" s="329"/><c r="M66" s="334"/></row><row r="67" spans="2:13" s="33" customFormat="1" ht="15" x14ac:dyDescent="0.25"><c r="B67" s="35" t="str"><f>Translation!$A$184</f><v>Resíduos urbanos</v></c><c r="C67" s="218"/><c r="D67" s="218"/><c r="E67" s="219"/><c r="F67" s="220"/><c r="G67" s="221"/><c r="H67" s="221"/><c r="I67" s="221"/><c r="J67" s="221"/><c r="K67" s="329"/><c r="L67" s="329"/><c r="M67" s="334"/></row><row r="68" spans="2:13" s="33" customFormat="1" ht="15" x14ac:dyDescent="0.25"><c r="B68" s="35" t="str"><f>Translation!$A$185</f><v>Armazenamento</v></c><c r="C68" s="218"/><c r="D68" s="218"/><c r="E68" s="219"/><c r="F68" s="220"/><c r="G68" s="221"/><c r="H68" s="221"/><c r="I68" s="221"/><c r="J68" s="221"/><c r="K68" s="329"/><c r="L68" s="329"/><c r="M68" s="334"/></row><row r="69" spans="2:13" s="33" customFormat="1" ht="15" x14ac:dyDescent="0.25"><c r="B69" s="35" t="str"><f>Translation!$A$186</f><v>Ligação externa</v></c><c r="C69" s="218"/><c r="D69" s="218"/><c r="E69" s="219"/><c r="F69" s="220"/><c r="G69" s="221"/><c r="H69" s="221"/><c r="I69" s="221"/><c r="J69" s="221"/><c r="K69" s="329"/><c r="L69" s="329"/><c r="M69" s="334"/></row><row r="70" spans="2:13" s="33" customFormat="1" ht="30" x14ac:dyDescent="0.25"><c r="B70" s="35" t="str"><f>Translation!$A$187</f><v>Perdas de distribuição e consumos próprios</v></c><c r="C70" s="218"/><c r="D70" s="218"/><c r="E70" s="219"/><c r="F70" s="220"/><c r="G70" s="221"/><c r="H70" s="221"/><c r="I70" s="221"/><c r="J70" s="221"/><c r="K70" s="329"/><c r="L70" s="329"/><c r="M70" s="334"/></row><row r="71" spans="2:13" s="33" customFormat="1" ht="15" x14ac:dyDescent="0.25"><c r="B71" s="35" t="str"><f>Translation!A59</f><v>Acções gerais</v></c><c r="C71" s="218"/><c r="D71" s="218"/><c r="E71" s="219"/><c r="F71" s="220"/><c r="G71" s="221"/><c r="H71" s="221"/><c r="I71" s="221"/><c r="J71" s="221"/><c r="K71" s="329"/><c r="L71" s="329"/><c r="M71" s="334"/></row><row r="72" spans="2:13" s="33" customFormat="1" ht="7.5" customHeight="1" x14ac:dyDescent="0.25"><c r="B72" s="35"/><c r="C72" s="16"/><c r="D72" s="16"/><c r="E72" s="17"/><c r="F72" s="18"/><c r="G72" s="19"/><c r="H72" s="19"/><c r="I72" s="19"/><c r="J72" s="19"/><c r="K72" s="330"/><c r="L72" s="330"/><c r="M72" s="335"/></row><row r="73" spans="2:13" s="33" customFormat="1" ht="15" x14ac:dyDescent="0.25"><c r="B73" s="197" t="str"><f>Translation!A188</f><v>ORDENAMENTO DO TERRITÓRIO</v></c><c r="C73" s="198"/><c r="D73" s="198"/><c r="E73" s="199"/><c r="F73" s="199"/><c r="G73" s="200"/><c r="H73" s="200"/><c r="I73" s="200"/><c r="J73" s="200"/><c r="K73" s="200"/><c r="L73" s="200"/><c r="M73" s="200"/></row><row r="74" spans="2:13" s="33" customFormat="1" ht="30" x14ac:dyDescent="0.25"><c r="B74" s="35" t="str"><f>Translation!A189</f><v>Planeamento estratégico local e regional</v></c><c r="C74" s="218"/><c r="D74" s="218"/><c r="E74" s="219"/><c r="F74" s="220"/><c r="G74" s="221"/><c r="H74" s="221"/><c r="I74" s="221"/><c r="J74" s="221"/><c r="K74" s="328"><f>SUM(H74:H79)</f><v>0</v></c><c r="L74" s="328"><f t="shared" ref="L74:M74" si="5">SUM(I74:I79)</f><v>0</v></c><c r="M74" s="328"><f t="shared" si="5"/><v>0</v></c></row><row r="75" spans="2:13" s="33" customFormat="1" ht="30" x14ac:dyDescent="0.25"><c r="B75" s="35" t="str"><f>Translation!A190</f><v>Planeamento de transportes e mobilidade</v></c><c r="C75" s="218"/><c r="D75" s="218"/><c r="E75" s="219"/><c r="F75" s="220"/><c r="G75" s="221"/><c r="H75" s="221"/><c r="I75" s="221"/><c r="J75" s="221"/><c r="K75" s="329"/><c r="L75" s="329"/><c r="M75" s="329"/></row><row r="76" spans="2:13" s="33" customFormat="1" ht="30" x14ac:dyDescent="0.25"><c r="B76" s="35" t="str"><f>Translation!A191</f><v>Planeamento de infraestruturas energéticas</v></c><c r="C76" s="218"/><c r="D76" s="218"/><c r="E76" s="219"/><c r="F76" s="220"/><c r="G76" s="221"/><c r="H76" s="221"/><c r="I76" s="221"/><c r="J76" s="221"/><c r="K76" s="329"/><c r="L76" s="329"/><c r="M76" s="329"/></row><row r="77" spans="2:13" s="33" customFormat="1" ht="30" x14ac:dyDescent="0.25"><c r="B77" s="35" t="str"><f>Translation!A192</f><v>Planeamento territorial das energias renováveis</v></c><c r="C77" s="218"/><c r="D77" s="218"/><c r="E77" s="219"/><c r="F77" s="220"/><c r="G77" s="221"/><c r="H77" s="221"/><c r="I77" s="221"/><c r="J77" s="221"/><c r="K77" s="329"/><c r="L77" s="329"/><c r="M77" s="329"/></row><row r="78" spans="2:13" s="33" customFormat="1" ht="15" x14ac:dyDescent="0.25"><c r="B78" s="35" t="str"><f>Translation!A59</f><v>Acções gerais</v></c><c r="C78" s="218"/><c r="D78" s="218"/><c r="E78" s="219"/><c r="F78" s="220"/><c r="G78" s="221"/><c r="H78" s="221"/><c r="I78" s="221"/><c r="J78" s="221"/><c r="K78" s="329"/><c r="L78" s="329"/><c r="M78" s="329"/></row><row r="79" spans="2:13" s="33" customFormat="1" ht="7.5" customHeight="1" x14ac:dyDescent="0.25"><c r="B79" s="35"/><c r="C79" s="16"/><c r="D79" s="16"/><c r="E79" s="17"/><c r="F79" s="18"/><c r="G79" s="19"/><c r="H79" s="19"/><c r="I79" s="19"/><c r="J79" s="19"/><c r="K79" s="330"/><c r="L79" s="330"/><c r="M79" s="330"/></row><row r="80" spans="2:13" s="33" customFormat="1" ht="15" x14ac:dyDescent="0.25"><c r="B80" s="197" t="str"><f>Translation!A193</f><v>CONTRATOS PÚBLICOS DE EMPREITADAS, BENS E SERVIÇOS</v></c><c r="C80" s="198"/><c r="D80" s="198"/><c r="E80" s="199"/><c r="F80" s="199"/><c r="G80" s="200"/><c r="H80" s="200"/><c r="I80" s="200"/><c r="J80" s="200"/><c r="K80" s="200"/><c r="L80" s="200"/><c r="M80" s="200"/></row><row r="81" spans="2:13" s="33" customFormat="1" ht="30" x14ac:dyDescent="0.25"><c r="B81" s="35" t="str"><f>Translation!A194</f><v>Requisitos e standards para eficiência energética</v></c><c r="C81" s="218"/><c r="D81" s="218"/><c r="E81" s="219"/><c r="F81" s="220"/><c r="G81" s="221"/><c r="H81" s="221"/><c r="I81" s="221"/><c r="J81" s="221"/><c r="K81" s="328"><f>SUM(H81:H84)</f><v>0</v></c><c r="L81" s="328"><f t="shared" ref="L81:M81" si="6">SUM(I81:I84)</f><v>0</v></c><c r="M81" s="328"><f t="shared" si="6"/><v>0</v></c></row><row r="82" spans="2:13" s="33" customFormat="1" ht="30" x14ac:dyDescent="0.25"><c r="B82" s="35" t="str"><f>Translation!A195</f><v>Requisitos e standards para energias renováveis</v></c><c r="C82" s="218"/><c r="D82" s="218"/><c r="E82" s="219"/><c r="F82" s="220"/><c r="G82" s="221"/><c r="H82" s="221"/><c r="I82" s="221"/><c r="J82" s="221"/><c r="K82" s="329"/><c r="L82" s="329"/><c r="M82" s="329"/></row><row r="83" spans="2:13" s="33" customFormat="1" ht="15" x14ac:dyDescent="0.25"><c r="B83" s="35" t="str"><f>Translation!A59</f><v>Acções gerais</v></c><c r="C83" s="218"/><c r="D83" s="218"/><c r="E83" s="219"/><c r="F83" s="220"/><c r="G83" s="221"/><c r="H83" s="221"/><c r="I83" s="221"/><c r="J83" s="221"/><c r="K83" s="329"/><c r="L83" s="329"/><c r="M83" s="329"/></row><row r="84" spans="2:13" s="33" customFormat="1" ht="7.5" customHeight="1" x14ac:dyDescent="0.25"><c r="B84" s="35"/><c r="C84" s="16"/><c r="D84" s="16"/><c r="E84" s="17"/><c r="F84" s="18"/><c r="G84" s="19"/><c r="H84" s="19"/><c r="I84" s="19"/><c r="J84" s="19"/><c r="K84" s="330"/><c r="L84" s="330"/><c r="M84" s="330"/></row><row r="85" spans="2:13" s="33" customFormat="1" ht="15" x14ac:dyDescent="0.25"><c r="B85" s="197" t="str"><f>Translation!A196</f><v>CIDADÃOS E PARTES INTERESSADAS</v></c><c r="C85" s="198"/><c r="D85" s="198"/><c r="E85" s="199"/><c r="F85" s="199"/><c r="G85" s="200"/><c r="H85" s="200"/><c r="I85" s="200"/><c r="J85" s="200"/><c r="K85" s="200"/><c r="L85" s="200"/><c r="M85" s="200"/></row><row r="86" spans="2:13" s="33" customFormat="1" ht="15" x14ac:dyDescent="0.25"><c r="B86" s="35" t="str"><f>Translation!A197</f><v>Serviços de aconselhamento</v></c><c r="C86" s="218"/><c r="D86" s="218"/><c r="E86" s="219"/><c r="F86" s="220"/><c r="G86" s="221"/><c r="H86" s="221"/><c r="I86" s="221"/><c r="J86" s="221"/><c r="K86" s="328"><f>SUM(H86:H93)</f><v>0</v></c><c r="L86" s="328"><f t="shared" ref="L86:M86" si="7">SUM(I86:I93)</f><v>0</v></c><c r="M86" s="328"><f t="shared" si="7"/><v>0</v></c></row><row r="87" spans="2:13" s="33" customFormat="1" ht="15" x14ac:dyDescent="0.25"><c r="B87" s="35" t="str"><f>Translation!A198</f><v>Apoios financeiros e incentivos</v></c><c r="C87" s="218"/><c r="D87" s="218"/><c r="E87" s="219"/><c r="F87" s="220"/><c r="G87" s="221"/><c r="H87" s="221"/><c r="I87" s="221"/><c r="J87" s="221"/><c r="K87" s="329"/><c r="L87" s="329"/><c r="M87" s="329"/></row><row r="88" spans="2:13" s="33" customFormat="1" ht="15" x14ac:dyDescent="0.25"><c r="B88" s="35" t="str"><f>Translation!A199</f><v>Sensibilização e cooperação</v></c><c r="C88" s="218"/><c r="D88" s="218"/><c r="E88" s="219"/><c r="F88" s="220"/><c r="G88" s="221"/><c r="H88" s="221"/><c r="I88" s="221"/><c r="J88" s="221"/><c r="K88" s="329"/><c r="L88" s="329"/><c r="M88" s="329"/></row><row r="89" spans="2:13" s="33" customFormat="1" ht="15" x14ac:dyDescent="0.25"><c r="B89" s="35" t="str"><f>Translation!A200</f><v>Formação e educação</v></c><c r="C89" s="218"/><c r="D89" s="218"/><c r="E89" s="219"/><c r="F89" s="220"/><c r="G89" s="221"/><c r="H89" s="221"/><c r="I89" s="221"/><c r="J89" s="221"/><c r="K89" s="329"/><c r="L89" s="329"/><c r="M89" s="329"/></row><row r="90" spans="2:13" s="33" customFormat="1" ht="15" x14ac:dyDescent="0.25"><c r="B90" s="35" t="str"><f>Translation!A201</f><v>Monitorização</v></c><c r="C90" s="218"/><c r="D90" s="218"/><c r="E90" s="219"/><c r="F90" s="220"/><c r="G90" s="221"/><c r="H90" s="221"/><c r="I90" s="221"/><c r="J90" s="221"/><c r="K90" s="329"/><c r="L90" s="329"/><c r="M90" s="329"/></row><row r="91" spans="2:13" s="33" customFormat="1" ht="15" x14ac:dyDescent="0.25"><c r="B91" s="35" t="str"><f>Translation!A202</f><v>Regulamentação</v></c><c r="C91" s="218"/><c r="D91" s="218"/><c r="E91" s="219"/><c r="F91" s="220"/><c r="G91" s="221"/><c r="H91" s="221"/><c r="I91" s="221"/><c r="J91" s="221"/><c r="K91" s="329"/><c r="L91" s="329"/><c r="M91" s="329"/></row><row r="92" spans="2:13" s="33" customFormat="1" ht="15" x14ac:dyDescent="0.25"><c r="B92" s="35" t="str"><f>Translation!A59</f><v>Acções gerais</v></c><c r="C92" s="218"/><c r="D92" s="218"/><c r="E92" s="219"/><c r="F92" s="220"/><c r="G92" s="221"/><c r="H92" s="221"/><c r="I92" s="221"/><c r="J92" s="221"/><c r="K92" s="329"/><c r="L92" s="329"/><c r="M92" s="329"/></row><row r="93" spans="2:13" s="33" customFormat="1" ht="7.5" customHeight="1" x14ac:dyDescent="0.25"><c r="B93" s="35"/><c r="C93" s="16"/><c r="D93" s="16"/><c r="E93" s="17"/><c r="F93" s="18"/><c r="G93" s="19"/><c r="H93" s="19"/><c r="I93" s="19"/><c r="J93" s="19"/><c r="K93" s="330"/><c r="L93" s="330"/><c r="M93" s="330"/></row><row r="94" spans="2:13" s="33" customFormat="1" ht="15" x14ac:dyDescent="0.25"><c r="B94" s="197" t="str"><f>Translation!A203</f><v>OUTROS SECTORES (por favor, especificar)</v></c><c r="C94" s="198"/><c r="D94" s="198"/><c r="E94" s="199"/><c r="F94" s="199"/><c r="G94" s="200"/><c r="H94" s="200"/><c r="I94" s="200"/><c r="J94" s="200"/><c r="K94" s="200"/><c r="L94" s="200"/><c r="M94" s="200"/></row><row r="95" spans="2:13" s="33" customFormat="1" ht="15" x14ac:dyDescent="0.25"><c r="B95" s="155" t="str"><f>Translation!A204</f><v>…</v></c><c r="C95" s="218"/><c r="D95" s="218"/><c r="E95" s="219"/><c r="F95" s="220"/><c r="G95" s="221"/><c r="H95" s="221"/><c r="I95" s="221"/><c r="J95" s="221"/><c r="K95" s="328"><f>SUM(H95:H100)</f><v>0</v></c><c r="L95" s="328"><f>SUM(I95:I100)</f><v>0</v></c><c r="M95" s="328"><f>SUM(J95:J100)</f><v>0</v></c></row><row r="96" spans="2:13" s="33" customFormat="1" ht="15" x14ac:dyDescent="0.25"><c r="B96" s="155" t="str"><f>Translation!A205</f><v>…</v></c><c r="C96" s="218"/><c r="D96" s="218"/><c r="E96" s="219"/><c r="F96" s="220"/><c r="G96" s="221"/><c r="H96" s="221"/><c r="I96" s="221"/><c r="J96" s="221"/><c r="K96" s="329"/><c r="L96" s="329"/><c r="M96" s="329"/></row><row r="97" spans="1:13" s="33" customFormat="1" ht="15" x14ac:dyDescent="0.25"><c r="B97" s="155" t="str"><f>Translation!A206</f><v>…</v></c><c r="C97" s="218"/><c r="D97" s="218"/><c r="E97" s="219"/><c r="F97" s="220"/><c r="G97" s="221"/><c r="H97" s="221"/><c r="I97" s="221"/><c r="J97" s="221"/><c r="K97" s="329"/><c r="L97" s="329"/><c r="M97" s="329"/></row><row r="98" spans="1:13" s="33" customFormat="1" ht="15" x14ac:dyDescent="0.25"><c r="B98" s="155" t="str"><f>Translation!A207</f><v>…</v></c><c r="C98" s="218"/><c r="D98" s="218"/><c r="E98" s="219"/><c r="F98" s="220"/><c r="G98" s="221"/><c r="H98" s="221"/><c r="I98" s="221"/><c r="J98" s="221"/><c r="K98" s="329"/><c r="L98" s="329"/><c r="M98" s="329"/></row><row r="99" spans="1:13" s="33" customFormat="1" ht="15" x14ac:dyDescent="0.25"><c r="B99" s="155" t="str"><f>Translation!A208</f><v>…</v></c><c r="C99" s="218"/><c r="D99" s="218"/><c r="E99" s="219"/><c r="F99" s="220"/><c r="G99" s="221"/><c r="H99" s="221"/><c r="I99" s="221"/><c r="J99" s="221"/><c r="K99" s="329"/><c r="L99" s="329"/><c r="M99" s="329"/></row><row r="100" spans="1:13" s="33" customFormat="1" ht="7.5" customHeight="1" x14ac:dyDescent="0.25"><c r="B100" s="35"/><c r="C100" s="16"/><c r="D100" s="16"/><c r="E100" s="17"/><c r="F100" s="18"/><c r="G100" s="19"/><c r="H100" s="19"/><c r="I100" s="19"/><c r="J100" s="19"/><c r="K100" s="330"/><c r="L100" s="330"/><c r="M100" s="330"/></row><row r="101" spans="1:13" s="33" customFormat="1" ht="15" x14ac:dyDescent="0.25"><c r="B101" s="325" t="str"><f>Translation!A209</f><v>TOTAL</v></c><c r="C101" s="326"/><c r="D101" s="326"/><c r="E101" s="326"/><c r="F101" s="327"/><c r="G101" s="203"><f>SUM(G14:G99)</f><v>27983298.050000001</v></c><c r="H101" s="203"><f>SUM(H14:H99)</f><v>9009.7908236000003</v></c><c r="I101" s="203"><f>SUM(I14:I99)</f><v>16774.057142857142</v></c><c r="J101" s="203"><f>SUM(J14:J99)</f><v>11374.4891670992</v></c><c r="K101" s="36"><f>K14+K28+K33+K39+K50+K57+K74+K81+K86+K95</f><v>9009.7908236000003</v></c><c r="L101" s="36"><f>L14+L28+L33+L39+L50+L57+L74+L81+L86+L95</f><v>16774.057142857142</v></c><c r="M101" s="36"><f>M14+M28+M33+M39+M50+M57+M74+M81+M86+M95</f><v>11374.4891670992</v></c></row><row r="102" spans="1:13" ht="17.25" customHeight="1" x14ac:dyDescent="0.25"><c r="B102" s="37"/><c r="C102" s="38"/><c r="D102" s="39"/><c r="E102" s="40"/><c r="F102" s="41"/><c r="J102" s="42"/></row><row r="103" spans="1:13" s="101" customFormat="1" ht="36" x14ac:dyDescent="0.25"><c r="A103" s="100" t="s"><v>10</v></c><c r="B103" s="324" t="str"><f>Translation!A210</f><v>WEBSITE</v></c><c r="C103" s="324"/><c r="D103" s="324"/><c r="E103" s="324"/><c r="F103" s="324"/><c r="G103" s="324"/><c r="H103" s="324"/><c r="I103" s="324"/><c r="J103" s="324"/><c r="K103" s="324"/><c r="L103" s="324"/><c r="M103" s="324"/></row><row r="104" spans="1:13" ht="15.75" customHeight="1" x14ac:dyDescent="0.25"><c r="A104" s="43"/><c r="C104" s="44" t="str"><f>Translation!A211</f><v>Ligação para o website dedicado ao ISEAP (se existir)</v></c><c r="D104" s="321"/><c r="E104" s="322"/><c r="F104" s="322"/><c r="G104" s="322"/><c r="H104" s="323"/><c r="I104" s="26"/></row><row r="105" spans="1:13" ht="17.25" customHeight="1" x14ac:dyDescent="0.25"><c r="B105" s="37"/><c r="J105" s="42"/></row><row r="106" spans="1:13" ht="12.75" customHeight="1" x14ac:dyDescent="0.25"><c r="B106"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06" s="271"/><c r="D106" s="271"/><c r="E106" s="271"/><c r="F106" s="271"/><c r="G106" s="271"/><c r="H106" s="271"/><c r="I106" s="271"/><c r="J106" s="271"/><c r="K106" s="271"/><c r="L106" s="271"/><c r="M106" s="271"/></row><row r="107" spans="1:13" x14ac:dyDescent="0.25"><c r="B107" s="271"/><c r="C107" s="271"/><c r="D107" s="271"/><c r="E107" s="271"/><c r="F107" s="271"/><c r="G107" s="271"/><c r="H107" s="271"/><c r="I107" s="271"/><c r="J107" s="271"/><c r="K107" s="271"/><c r="L107" s="271"/><c r="M107" s="271"/></row><row r="108" spans="1:13" x14ac:dyDescent="0.25"><c r="B108" s="271"/><c r="C108" s="271"/><c r="D108" s="271"/><c r="E108" s="271"/><c r="F108" s="271"/><c r="G108" s="271"/><c r="H108" s="271"/><c r="I108" s="271"/><c r="J108" s="271"/><c r="K108" s="271"/><c r="L108" s="271"/><c r="M108" s="271"/></row></sheetData><mergeCells count="54"><mergeCell ref="B61:B62"/><mergeCell ref="L74:L79"/><mergeCell ref="M74:M79"/><mergeCell ref="K57:K72"/><mergeCell ref="L57:L72"/><mergeCell ref="M57:M72"/><mergeCell ref="K74:K79"/><mergeCell ref="K50:K55"/><mergeCell ref="L50:L55"/><mergeCell ref="M50:M55"/><mergeCell ref="K39:K48"/><mergeCell ref="L39:L48"/><mergeCell ref="M39:M48"/><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33:K37"/><mergeCell ref="L33:L37"/><mergeCell ref="M33:M37"/><mergeCell ref="K28:K31"/><mergeCell ref="L28:L31"/><mergeCell ref="M28:M31"/><mergeCell ref="K14:K26"/><mergeCell ref="L14:L26"/><mergeCell ref="M14:M26"/><mergeCell ref="B14:B16"/><mergeCell ref="B106:M108"/><mergeCell ref="D104:H104"/><mergeCell ref="B103:M103"/><mergeCell ref="B101:F101"/><mergeCell ref="K81:K84"/><mergeCell ref="L81:L84"/><mergeCell ref="M81:M84"/><mergeCell ref="K86:K93"/><mergeCell ref="L86:L93"/><mergeCell ref="M86:M93"/><mergeCell ref="K95:K100"/><mergeCell ref="L95:L100"/><mergeCell ref="M95:M100"/></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B2BF27BA-A7B0-47DD-A38C-B8058734023B}" xmlns:ds="http://schemas.openxmlformats.org/officeDocument/2006/customXml"/>
</file>

<file path=customXml/itemProps2.xml><?xml version="1.0" encoding="UTF-8" standalone="no"?>
<ds:datastoreItem ds:itemID_"{0A57C13F-DE01-45E6-97E1-21AB9E605DA3}" xmlns:ds="http://schemas.openxmlformats.org/officeDocument/2006/customXml"/>
</file>

<file path=customXml/itemProps3.xml><?xml version="1.0" encoding="UTF-8" standalone="no"?>
<ds:datastoreItem ds:itemID_"{4AA56109-8D35-4686-94F5-97CE0441E38E}"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MM. Oliveira</dc:creator>
  <cp:lastModifiedBy>José MM. Oliveira</cp:lastModifiedBy>
  <cp:lastPrinted>2011-12-08T15:15:54Z</cp:lastPrinted>
  <dcterms:created xsi:type="dcterms:W3CDTF">2011-03-07T15:38:06Z</dcterms:created>
  <dcterms:modified xsi:type="dcterms:W3CDTF">2012-03-30T18:16:54Z</dcterms:modified>
</cp:coreProperties>
</file>